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" sheetId="1" r:id="rId4"/>
  </sheets>
  <definedNames/>
  <calcPr/>
</workbook>
</file>

<file path=xl/sharedStrings.xml><?xml version="1.0" encoding="utf-8"?>
<sst xmlns="http://schemas.openxmlformats.org/spreadsheetml/2006/main" count="6355" uniqueCount="1103">
  <si>
    <t>Title</t>
  </si>
  <si>
    <t>Tags</t>
  </si>
  <si>
    <t>Description</t>
  </si>
  <si>
    <t>Author</t>
  </si>
  <si>
    <t>Character Tags</t>
  </si>
  <si>
    <t>Added</t>
  </si>
  <si>
    <t>Updated</t>
  </si>
  <si>
    <t>grimdark</t>
  </si>
  <si>
    <t>humans</t>
  </si>
  <si>
    <t>kinky</t>
  </si>
  <si>
    <t>romantic</t>
  </si>
  <si>
    <t>incomplete/WIP</t>
  </si>
  <si>
    <t>lime</t>
  </si>
  <si>
    <t>Twilight Sparkle</t>
  </si>
  <si>
    <t>Pinkie Pie</t>
  </si>
  <si>
    <t>Applejack</t>
  </si>
  <si>
    <t>Rainbow Dash</t>
  </si>
  <si>
    <t>Rarity</t>
  </si>
  <si>
    <t>Fluttershy</t>
  </si>
  <si>
    <t>Princess Celestia</t>
  </si>
  <si>
    <t>Princess Luna</t>
  </si>
  <si>
    <t>Spike</t>
  </si>
  <si>
    <t>Apple Bloom</t>
  </si>
  <si>
    <t>Scootaloo</t>
  </si>
  <si>
    <t>Sweetie Belle</t>
  </si>
  <si>
    <t>Big Macintosh</t>
  </si>
  <si>
    <t>Trixie</t>
  </si>
  <si>
    <t>Zecora</t>
  </si>
  <si>
    <t>Gilda</t>
  </si>
  <si>
    <t>other characters</t>
  </si>
  <si>
    <t>Derpy Hooves</t>
  </si>
  <si>
    <t>Lyra</t>
  </si>
  <si>
    <t>Bon-Bon</t>
  </si>
  <si>
    <t>Cheerilee</t>
  </si>
  <si>
    <t>other background ponies</t>
  </si>
  <si>
    <t>other/original characters</t>
  </si>
  <si>
    <t>g</t>
  </si>
  <si>
    <t>k</t>
  </si>
  <si>
    <t>Twilight confronts Chrysalis in the chapel. Bad things happen.</t>
  </si>
  <si>
    <t>TS</t>
  </si>
  <si>
    <t>X</t>
  </si>
  <si>
    <t>oc</t>
  </si>
  <si>
    <t>Sick of being a kid, Rumble gets a potion from Zecora, and 'grows up' with Flitter and Cloudchaser</t>
  </si>
  <si>
    <t>obp</t>
  </si>
  <si>
    <t>r</t>
  </si>
  <si>
    <t>Cadence discovers an unexpected side of her husband, and decides to give him a very special gift</t>
  </si>
  <si>
    <t>Rarity has to deal with her awful son's mental illness</t>
  </si>
  <si>
    <t>Ry</t>
  </si>
  <si>
    <t>A short clop between a teenage colt named Crunch and his hired lady of the night, Pinkie Pie.</t>
  </si>
  <si>
    <t>PP</t>
  </si>
  <si>
    <t>Drama Queen Rarity x Fluttershy in Lingerie.</t>
  </si>
  <si>
    <t>Fs</t>
  </si>
  <si>
    <t>i</t>
  </si>
  <si>
    <t>Vinyl Scratch catches up with Octavia, but dark memories from their past return.</t>
  </si>
  <si>
    <t>h</t>
  </si>
  <si>
    <t>Best story ever.</t>
  </si>
  <si>
    <t>RD</t>
  </si>
  <si>
    <t>Octavia's thoughts drift to her housemate, Vinyl Scratch, and her curiosity and feelings towards the unicorn cause her to call the mare in..</t>
  </si>
  <si>
    <t>Adult Scootaloo/Sweetie Belle. Bondage. Scootaloo is the sub.</t>
  </si>
  <si>
    <t>Sc</t>
  </si>
  <si>
    <t>SB</t>
  </si>
  <si>
    <t>A small collection of stories dealing with sex in Equestria</t>
  </si>
  <si>
    <t>Aj</t>
  </si>
  <si>
    <t>Spike engages in sex with the many ponies of equestria one at a time</t>
  </si>
  <si>
    <t>PC</t>
  </si>
  <si>
    <t>PL</t>
  </si>
  <si>
    <t>Sp</t>
  </si>
  <si>
    <t>Twilight Sparkle goes on a quest to seduce all of her friends to restore harmony. But can her friends and trixie stop her in time?</t>
  </si>
  <si>
    <t>AB</t>
  </si>
  <si>
    <t>Tr</t>
  </si>
  <si>
    <t>The title is a nice way to give away the story.</t>
  </si>
  <si>
    <t>Mc</t>
  </si>
  <si>
    <t>Twilight accidentally clones Spike six times.</t>
  </si>
  <si>
    <t>[M/M] OC - also my first!</t>
  </si>
  <si>
    <t>Luna is lonely until Rainbow Dash introduces Luna to Soarin.</t>
  </si>
  <si>
    <t>l</t>
  </si>
  <si>
    <t>Apple Bloom starts sleeping around.</t>
  </si>
  <si>
    <t>Twilight/Spike</t>
  </si>
  <si>
    <t>Part 1; Futa; WIP; Bondage?</t>
  </si>
  <si>
    <t>Applejack/Big Mac; Incest; WIP</t>
  </si>
  <si>
    <t>No Sex); WIP; TF</t>
  </si>
  <si>
    <t>It’s Berry Punch’s Birthday and Colgate has a surprise for her. Berry Punch also has a little surprise for her dentist marefriend.</t>
  </si>
  <si>
    <t>Rarity is abducted to a manor in the remote Everfree forest. Trigger warning, contains rape and the like.</t>
  </si>
  <si>
    <t>Rainbow Dash gets involved in Scootaloo's life.</t>
  </si>
  <si>
    <t>Pip, Silver Spoon, Twist, and Sweetie Belle, each seeking something different, are manipulated by Rarity for her own perverse ends. .</t>
  </si>
  <si>
    <t>When a portal back to earth opens up, You take this as a chance to tie up loose ends. (Human x RD)</t>
  </si>
  <si>
    <t>A bunch of short sex scenes, porn without plot.</t>
  </si>
  <si>
    <t>Pip is so excited to see Luna once more. Turns out she is excited too.</t>
  </si>
  <si>
    <t>Applejack has an interesting way to deal with her sister's problem.</t>
  </si>
  <si>
    <t>OC X Mayor mare</t>
  </si>
  <si>
    <t>Pinkie and Dash show Fluttershy what they mean when they accept her into their lives.</t>
  </si>
  <si>
    <t>Fluttermac</t>
  </si>
  <si>
    <t>Fluttershy can't have an orgasm.</t>
  </si>
  <si>
    <t>TwiDash romantic shipfuckery series</t>
  </si>
  <si>
    <t>Shining and his dad pleasure each other then fuck, gay incest</t>
  </si>
  <si>
    <t>This is the story of how a group of friends discover new things about their sexuality…and about their relationships with each other.</t>
  </si>
  <si>
    <t>(First Person x Stalkerloo) Having to stay back and do some extra work, I met a little thief</t>
  </si>
  <si>
    <t>Everypony has their secrets. Some are just buried a lot deeper than others.</t>
  </si>
  <si>
    <t>Spitfire shows Scootaloo the ropes.</t>
  </si>
  <si>
    <t>Anonymous in Equestria. Why are they so fearful? Or--is it fear?</t>
  </si>
  <si>
    <t>Prince Blueblood schemes to make Rarity, her sister and their mother into his latest conquest.</t>
  </si>
  <si>
    <t>Ly</t>
  </si>
  <si>
    <t>BB</t>
  </si>
  <si>
    <t>Title says it all</t>
  </si>
  <si>
    <t>The only 3.5 clopfic in existance... BE AFRAID!</t>
  </si>
  <si>
    <t>A romantic grimdark. No rape/murder whatsoever, just vampirism.</t>
  </si>
  <si>
    <t>Filly Cadance becomes infatuated with Twilight's father. Her obsession threatens her very sanity.</t>
  </si>
  <si>
    <t>Zc</t>
  </si>
  <si>
    <t>Some fires are meant to burn, some fires are meant to be private, some fires are meant to pleasure.</t>
  </si>
  <si>
    <t>A collection of isolated one shots</t>
  </si>
  <si>
    <t>Rarity x Twilight / Rarity x Cheerilee</t>
  </si>
  <si>
    <t>Ch</t>
  </si>
  <si>
    <t>AJ and Shining Armor. What could go wrong?</t>
  </si>
  <si>
    <t>DH</t>
  </si>
  <si>
    <t>The spa ponies explore an unorthodox solution for helping their customers cope with unrequited love.</t>
  </si>
  <si>
    <t>background characters' and their urges and plans? what could go wrong?</t>
  </si>
  <si>
    <t>Subtle, I know.</t>
  </si>
  <si>
    <t>An intimate Visit with a Princess, in Which Much is Learned</t>
  </si>
  <si>
    <t>You meet &amp; fuck Purple Tinker</t>
  </si>
  <si>
    <t>SpikeXTwilight, involves alcohol, rape and a lot more!</t>
  </si>
  <si>
    <t>Diamond Tiara , Silver Spoon , Hoops - fellatio hoofjob</t>
  </si>
  <si>
    <t>Spike meets a person that forces him to confront feelings he thought he understood previously. Humanized</t>
  </si>
  <si>
    <t>Applejack sneaks into her brother's room during a sleepless night.</t>
  </si>
  <si>
    <t>Human Pinkamena and R63 Human Spike - Random, anal play; Illustrated</t>
  </si>
  <si>
    <t>Fluttershy becomes a sex slave.</t>
  </si>
  <si>
    <t>Rarity muses over her life as a married pony and realizes she needs to reignite that "spark"</t>
  </si>
  <si>
    <t>Sequel to Return to Sender. Taken place the morning after.</t>
  </si>
  <si>
    <t>Filthy Rich thought he would do a bit of tax evasion. Turns out the Royal Guard don't look too kindly on that</t>
  </si>
  <si>
    <t>R63 M/M Clopfic series about the mane cast having casual sex.</t>
  </si>
  <si>
    <t>Rainbow Dash prepares for the Young Fuckers Competition.</t>
  </si>
  <si>
    <t>Sometimes, cockiness and feeling entitled to something that isn't yours, stings. Luna/adult!Pipsqueak</t>
  </si>
  <si>
    <t>Octavia and Vinyl can't cooperate with their fetishes for forced sex, just like Bon Bon and Lyra...</t>
  </si>
  <si>
    <t>Collection of short stories of a bonerific nature.</t>
  </si>
  <si>
    <t>Twilight plus all</t>
  </si>
  <si>
    <t>FluttershyxHuman domination</t>
  </si>
  <si>
    <t>FluttershyxHuman</t>
  </si>
  <si>
    <t>Teen Cakes makeout session</t>
  </si>
  <si>
    <t>CheerileexBigMac cum inflation</t>
  </si>
  <si>
    <t>Shortfic humanxAJ</t>
  </si>
  <si>
    <t>Book Four of the saga. Luna and Celestia leave Canterlot on vacation, and the princess left in charge has problems of her own arise.</t>
  </si>
  <si>
    <t>Rarity eaten by a human.</t>
  </si>
  <si>
    <t>Sequel of Eating Diamonds</t>
  </si>
  <si>
    <t>A pair of dimension crossed lovers: your only meeting.</t>
  </si>
  <si>
    <t>[Second Person] KABLOOEY!</t>
  </si>
  <si>
    <t>[2nd POV Humanized] You visit Fluttershy on a cold winter day when a spell to change her physique goes wrong. Extreme breast expansion.</t>
  </si>
  <si>
    <t>Apple Bloom, in heat, loses herself to Spike.</t>
  </si>
  <si>
    <t>Spike has a crush on Dinky but will everypony else get in his way?</t>
  </si>
  <si>
    <t>You must wake up Luna. 2nd person, foodscat.</t>
  </si>
  <si>
    <t>A choose your own adventure erotic story.</t>
  </si>
  <si>
    <t>Spike's finally persuaded Rarity to take their relationship to the next level...on one condition...</t>
  </si>
  <si>
    <t>Chrysalis goes undercover to learn more about Princess Cadence's habits.</t>
  </si>
  <si>
    <t>(60 minute clopfic) Twilight takes notes on Mr and Mrs Cake's sex. And clops while watching them.</t>
  </si>
  <si>
    <t>Two musicians and a bottle of brandy. (Octascratch)</t>
  </si>
  <si>
    <t>Lyra and Bon Bon get a job at a sex phone line.</t>
  </si>
  <si>
    <t>Pinkie loves donuts stuffed with all sorts of things, including something only Joe can provide...</t>
  </si>
  <si>
    <t>Twilight becomes Luna's student and is taught all the rituals of the night, including sex.</t>
  </si>
  <si>
    <t>Cadance's magic, once sweet and innocent, has become perverted and lewd. In the night, a star rises</t>
  </si>
  <si>
    <t>Since everyone else has made one of these...</t>
  </si>
  <si>
    <t>Cadance paints herself up as Twilight Sparkle to seduce Shining Armor.</t>
  </si>
  <si>
    <t>Rainbow Dash discovers a magical futa-bestowing artifact!</t>
  </si>
  <si>
    <t>Berry Punch, Carrot Top and Colgate goes to the spa for a special treatment by Lotus and Aloe</t>
  </si>
  <si>
    <t>Spike confesses his love to rarity</t>
  </si>
  <si>
    <t>An Odd Plant in the Everfree Forest Spells Trouble for The Mane 6</t>
  </si>
  <si>
    <t>Anthro Spike x Maid Rarity clop</t>
  </si>
  <si>
    <t>Delving into the mind of the world's worst unicorn</t>
  </si>
  <si>
    <t>Big Mac helps Braeburn bring better gardening to Appleloosa, and a spark of romance springs to life in the most unlikely places.</t>
  </si>
  <si>
    <t>or, what REALLY happened after The Last Roundup, out in the desert!</t>
  </si>
  <si>
    <t>Fluttershy becomes Futashy for a week as punishment.</t>
  </si>
  <si>
    <t>All possible mane six shippings + OTP (Filly Twi x Celestia)</t>
  </si>
  <si>
    <t>Celestia x human self-insert waifuing</t>
  </si>
  <si>
    <t>Spike confesses his love for Rarity. It goes better and worse than he could hope. Short clop, BDSM</t>
  </si>
  <si>
    <t>What starts out as a simple conversation ends with a bit more than words.</t>
  </si>
  <si>
    <t>Applejack, Rainbow Dash and Viynl Scratch try to stop Cerberus, with sexy results.</t>
  </si>
  <si>
    <t>Sexual encounters for all the foals in Ponyville</t>
  </si>
  <si>
    <t>Rainbow Dash barges into Celestia's throne room while wearing a striped toga and holding a thing of nutella. She then yells "IT'S GO TIME!"</t>
  </si>
  <si>
    <t>Applejack hides a vibrator in her snatch.</t>
  </si>
  <si>
    <t>Twilight horn fucks Pinkie Pie.</t>
  </si>
  <si>
    <t>Twilight just might be easy.</t>
  </si>
  <si>
    <t>Teenage Scootaloo x Rumble first time</t>
  </si>
  <si>
    <t>Your relationship with Scootaloo becomes sexual over time</t>
  </si>
  <si>
    <t>Twilight looks in her friends' dreams. What could go wrong?</t>
  </si>
  <si>
    <t>Rarity starts stress eating and packs on a bunch of weight, Applejack seems to kinda like that.</t>
  </si>
  <si>
    <t>Caramel absolutely must not acknowledge his feelings for Cherry Jubilee. Yeah, that'll happen.</t>
  </si>
  <si>
    <t>Dash/Gilda/Pinkie have a threesome. 60 minute fic.</t>
  </si>
  <si>
    <t>Gi</t>
  </si>
  <si>
    <t>Spike needs to rein in his swagger. Luckily, Fancy Pants decides to aid him.</t>
  </si>
  <si>
    <t>Luna and Celestia are hunting Nightmare Moon, but when they find her, the situation goes from scary to...something else entirely.</t>
  </si>
  <si>
    <t>Princess Celestia is in heat and only the supple flesh of a young foal can satisfy her lust.</t>
  </si>
  <si>
    <t>The associate of a white unicorn learns that there may be more to life than the pursuit of wealth.</t>
  </si>
  <si>
    <t>While fucking.</t>
  </si>
  <si>
    <t>Cloudkicker and Merry May indulge in each other in the bathroom, and it gets steamy.</t>
  </si>
  <si>
    <t>Mature chapters of "Vinyl and Octavia: University Days"</t>
  </si>
  <si>
    <t>Rarity wants a special order from Sugar Cube Corner</t>
  </si>
  <si>
    <t>Pony Bedwetting Series (watersports)</t>
  </si>
  <si>
    <t>You awaken to find yourself strapped down to a medical table. Turns out you're Twilights biology subject, 2nd Person, Human in Equestria</t>
  </si>
  <si>
    <t>Mr. Cake helps Pinkie make cupcakes.</t>
  </si>
  <si>
    <t>Hoity Toity gets some "service" from Lotus. 60 minute fic.</t>
  </si>
  <si>
    <t>The girls have a talk. It ends with Dash and Pinkie getting sticky. Then having sex.</t>
  </si>
  <si>
    <t>Mrs. Cake is out of town, leaving her husband and her tenant alone to run the shop. A traumatic event transpires.</t>
  </si>
  <si>
    <t>Continued from Preggity, this is the relationship of Twilight Sparkle and Rainbow Dash from awkward start to awkward finish.</t>
  </si>
  <si>
    <t>The Changling Queen seeks a new source of food to save her hive</t>
  </si>
  <si>
    <t>Rainbow Dash has some fun... Then it gets doubled.</t>
  </si>
  <si>
    <t>humanized Zecora x human anon, 2nd person, set during the US Civil War.,</t>
  </si>
  <si>
    <t>Luna plays with herself.</t>
  </si>
  <si>
    <t>A curious colt dwells too deep into the mysterious arts of the Mighty Trixie. He finds something else other than magic.</t>
  </si>
  <si>
    <t>A young man receives a mysterious board game on his doorstep.</t>
  </si>
  <si>
    <t>Sequel to "The Rainbow Effect!" Applejack and Rainbow Dash discover another budding romance within the quiet town of Ponyville.</t>
  </si>
  <si>
    <t>The Cakes have some quality time alone.</t>
  </si>
  <si>
    <t>Soarin' and his coltfriend Caramel enjoy a warm summer's evening watching the sun set.</t>
  </si>
  <si>
    <t>Scootaloo stays after class after having some trouble with a new chapter in Maths. Human x Scootaloo clopfic</t>
  </si>
  <si>
    <t>YepTrixie x Trixie x Trixie x Trixie. Mother of god. 60 minute fic.</t>
  </si>
  <si>
    <t>Young Twilight's trials as she studies under Celestia.</t>
  </si>
  <si>
    <t>Various pair ups such as Twidash, fluttermac, Swarity and Doc Whooves and the Queen. More to come.</t>
  </si>
  <si>
    <t>Princess Luna and a Nightwatch Pegasus</t>
  </si>
  <si>
    <t>Twilight Sparkle and Rainbow Dash greet a new changeling invasion attempt. Really stickily.</t>
  </si>
  <si>
    <t>Celestia calls Fluttershy to be her student, but she is studying something other than friendship...</t>
  </si>
  <si>
    <t>Sweetie Belle suspects that her cutie mark may have more than one meaning...</t>
  </si>
  <si>
    <t>Pinkie had a horrible, distasteful, unfathomable dream, and lets the feelings it invoked influence her behavior.</t>
  </si>
  <si>
    <t>The third book in the Who Rules? saga. Four ponies find their lives on a desperate collision course.</t>
  </si>
  <si>
    <t>Twilight wakes up with Rainbow Dash and Rarity on her bed. Why are they calling her 'mistress'?</t>
  </si>
  <si>
    <t>Prince Blueblood meets Trixie one night. They have some fun together.</t>
  </si>
  <si>
    <t>Pinkie Pie does bondage porn and Rainbow Dash gets to watch.</t>
  </si>
  <si>
    <t>Fluttershy gets a haircut from Rarity. It gets weird.</t>
  </si>
  <si>
    <t>Rainbow Dash comes out of the closet, but no one believes her.</t>
  </si>
  <si>
    <t>Pinkie and Twilight give Dash a sexy birthday gift</t>
  </si>
  <si>
    <t>Twilight can't seem to hide from anypony (Futa)</t>
  </si>
  <si>
    <t>To what lengths will Twilight Sparkle go to soothe Princess Luna's jealousy?</t>
  </si>
  <si>
    <t>Twilight has been experimenting again. Dash gets to have some fun.</t>
  </si>
  <si>
    <t>Collection of prompts written for the SMP tumblr.</t>
  </si>
  <si>
    <t>Twilight and Dash pretend to be Twilight's brother and his wife. In bed.</t>
  </si>
  <si>
    <t>2nd-person Rarity romance, with an emphasis on story (Updated: Chapter 19 posted)</t>
  </si>
  <si>
    <t>Erotica fucking her creator. AKA yours truely</t>
  </si>
  <si>
    <t>Humanized AU - Twilight Sparkle is a freshman at college. Sexy adventures ensue.</t>
  </si>
  <si>
    <t>Big Macintosh lets Fluttershy take the reins in the bedroom...</t>
  </si>
  <si>
    <t>Blossomforth and Thunderlane have a little problem</t>
  </si>
  <si>
    <t>Rainbow Dash tries to spice up a relationship that is quickly becoming stale.</t>
  </si>
  <si>
    <t>Applejack finds herself flung forward in time to a postapocalyptic Equestria where Apple Bloom is leading a resistance against the Windigoes</t>
  </si>
  <si>
    <t>Twilight has a surprise in store for Time Turner...</t>
  </si>
  <si>
    <t>After so many years apart, how will Cranky and Matilda react when they're reunited at long last? ...How do you think?</t>
  </si>
  <si>
    <t>After Derpy makes a delivery to Twilight, She stops her to ask about her past.</t>
  </si>
  <si>
    <t>Human/Rarity; 2nd Person; Pregnancy</t>
  </si>
  <si>
    <t>The Mane 6 Have All Fallen for Spike but don't want to hurt thier freindship</t>
  </si>
  <si>
    <t>A collection of short clopfics written for speed prompts.</t>
  </si>
  <si>
    <t>Twilight Sparkle writes to her mentor of her circle's explorations of unicorn sexuality.</t>
  </si>
  <si>
    <t>2.3 human x pone waifufaggotry</t>
  </si>
  <si>
    <t>After her takeover, Queen Chrysalis indulges in the spoils of conquest.</t>
  </si>
  <si>
    <t>Twilight settles down for some clopping...but is interrupted by Pinkie.</t>
  </si>
  <si>
    <t>Fluttershy walks in on Rainbow Dash</t>
  </si>
  <si>
    <t>AJ and Pinkie have a little roleplaying fun</t>
  </si>
  <si>
    <t>Twilight and Moondancer's night out takes an embarrassing turn</t>
  </si>
  <si>
    <t>Iris needs a dress for the Grand Galloping Gala, but she doesn't have the bits to pay Rarity, will Rarity allow a "special" discount?</t>
  </si>
  <si>
    <t>Applejack and her husband Soarin schedule a little rendezvous for lunch...</t>
  </si>
  <si>
    <t>Dash has something to admit to Fluttershy. And Pinkie has a trampoline. And then it gets sticky.</t>
  </si>
  <si>
    <t>A parody of "Love is in the Air" by Blueshift. (contains watersports)</t>
  </si>
  <si>
    <t>Rainbow Dash gets no respect...Except in bed!</t>
  </si>
  <si>
    <t>Spike fucks a bunch of mares. It's better than it sounds. Think Romance Reports, but with Spike.</t>
  </si>
  <si>
    <t>Trixie watches in awe as some cunt who hasn't read the fic deletes it.</t>
  </si>
  <si>
    <t>short story. from author's pov</t>
  </si>
  <si>
    <t>A very, very special Hearts and Hooves Day...</t>
  </si>
  <si>
    <t>Nightmare Moon x Fluttershy, light BDSM, 60 minute story.</t>
  </si>
  <si>
    <t>Princess Luna and Rainbow Dash on a blind date</t>
  </si>
  <si>
    <t>Two married couples, one old and one new, honeymoon in Las Pegasus, ready for a week of love and learning.</t>
  </si>
  <si>
    <t>A young stallion's search for a prostitute has a surprising end.</t>
  </si>
  <si>
    <t>A short adventure turns into a duo being lost, and they soon find love.</t>
  </si>
  <si>
    <t>A slip of the tongue by Celestia during a party at the palace leads to an encounter with Twilight and Rarity.</t>
  </si>
  <si>
    <t>Zecora x Fluttershy</t>
  </si>
  <si>
    <t>Spike/Sweetie quickfic oneshot, humanized</t>
  </si>
  <si>
    <t>Rarity awakens on the morning after her wedding next to the stallion she's come to love.</t>
  </si>
  <si>
    <t>Alone and bored on a rainy day Aloe the spa pony gets the opportunity to spend some fun time with the mare of her dreams</t>
  </si>
  <si>
    <t>Big Macintosh rapes Applejack</t>
  </si>
  <si>
    <t>Twilight, Dash, and Pinkie have a very interesting, sticky, and loving relationship. Complete with rutting each other silly.</t>
  </si>
  <si>
    <t>Choose your own adventure; two unlockable sex scenes and a shitload of applepone</t>
  </si>
  <si>
    <t>After an incredible night with Berry Punch, Rarity goes of to find her again. What happens while in search for her is quite incredible</t>
  </si>
  <si>
    <t>Pinkie Pie always loved little foals, but one day she discovers a new way to expess her affection.</t>
  </si>
  <si>
    <t>Spike has a shitty day where Rarity Fucks Twilight.</t>
  </si>
  <si>
    <t>submission for Sexty Minute Pony Stories prompt 4. Braeburn and Rarity quickfic.</t>
  </si>
  <si>
    <t>Nothing like some good moonshine to drink the night away with your #1 fan. Then they buck.</t>
  </si>
  <si>
    <t>You welcome your new pet Scootaloo to her new home</t>
  </si>
  <si>
    <t>Young Shinning Armor and Cadance</t>
  </si>
  <si>
    <t>Luna and her guard lover. Impregnation</t>
  </si>
  <si>
    <t>Something scandalous happens at Rarity's wedding reception.</t>
  </si>
  <si>
    <t>A human trapped in Equestria makes the most of the spring season with his newfound love.</t>
  </si>
  <si>
    <t>How does Rarity keep getting Dash to help with her dresses?</t>
  </si>
  <si>
    <t>R63 story. Gideon (Gilda) gets trapped by Bubble Berry (Pinkie Pie) and nonconsensual fun ensues.</t>
  </si>
  <si>
    <t>Trixie meets and seduces Shining Armor at a strip club.</t>
  </si>
  <si>
    <t>60 minute clopfic writing challange.</t>
  </si>
  <si>
    <t>I get whisked away from my boring life as an office guy into the hooves of Queen Chrysalis.</t>
  </si>
  <si>
    <t>The Cutie Mark Crusaders write a letter to a prominent magazine.</t>
  </si>
  <si>
    <t>Rainbow Dash isn't a lesbian. She's bi. Pinkie teaches her how to prove it.</t>
  </si>
  <si>
    <t>Unrequited love doesn't last forever. Spike/Rarity, Spike/Pinkie Pie, Spike/Twilight, Luna/Celestia/Dr. Hooves</t>
  </si>
  <si>
    <t>Pinkie and Crankie rev up another time-tested classic scenario. Sex occurs.</t>
  </si>
  <si>
    <t>Interactive Story. Think MLF: FiK, minus the hardcore fetishes.</t>
  </si>
  <si>
    <t>A Parody Clopfic written by multiple authors for the purpose of being insane.</t>
  </si>
  <si>
    <t>Queen Chrysalis isn't feeling well. There's only one cure: lots of sex.</t>
  </si>
  <si>
    <t>Futashy is feeling under the weather. Foodscat, futa, 2nd person.</t>
  </si>
  <si>
    <t>The Doctor is feeling frustrated after winding up in Equestria when, one day, he hears a wonderful musician play...</t>
  </si>
  <si>
    <t>Rarity X Trixie Rape/Humanized/Dark</t>
  </si>
  <si>
    <t>Twinkie sex with games</t>
  </si>
  <si>
    <t>Fluttershy gets caught watching Pinkie and Dash</t>
  </si>
  <si>
    <t>A quickfic for the Sexty Minutes Ponies thing</t>
  </si>
  <si>
    <t>Twilight Sparkle and Pinkie Pie play a game of chess.</t>
  </si>
  <si>
    <t>meow, don't forget cheerilee :D</t>
  </si>
  <si>
    <t>A continuation of Sergeant Sprinkles Cupcakes. This is the story of what happened between Cupcakes and Cupcakes 2. Enjoy</t>
  </si>
  <si>
    <t>A nightly encounter between Trixie and Twilight quickly degenerates into something else altogether.</t>
  </si>
  <si>
    <t>Kinkie Pie needs love, too</t>
  </si>
  <si>
    <t>it's the 1st of May, 1st of May, Outdoor bucking starts today.</t>
  </si>
  <si>
    <t>RDXThunderlane</t>
  </si>
  <si>
    <t>Shining Armor helps his filly sister masturbate and their relationship expands to new heights of intimacy.</t>
  </si>
  <si>
    <t>Rarity runs into an old friend. This is a windfall, because she needs a sounding board for a new lingerie line..</t>
  </si>
  <si>
    <t>Lyra and Bon Bon Clop</t>
  </si>
  <si>
    <t>Love is the greatest richness.</t>
  </si>
  <si>
    <t>Twilight and Co. decide to share the stories of their first times after another storm.</t>
  </si>
  <si>
    <t>Thunderlane x Flitter</t>
  </si>
  <si>
    <t>Scootaloo decides to fix a certain itch she can't scratch.</t>
  </si>
  <si>
    <t>When young Twilight is given an opportunity to learn the wonders of intimacy, she jumps on it. Literally. Foalcon Twi.</t>
  </si>
  <si>
    <t>R63 Rarity x Fluttershy</t>
  </si>
  <si>
    <t>Spiritual sequel to Preggity. 2nd Person Human/Pinkie Pie; Pregnancy</t>
  </si>
  <si>
    <t>Rainbow Dash finds love in the human world with Megan, a long-lost friend of ponykind</t>
  </si>
  <si>
    <t>human anon x food pony OCs. Sequel to Breakfast.</t>
  </si>
  <si>
    <t>Anthro Zecora and Braeburn</t>
  </si>
  <si>
    <t>Twilight x Futa Pinkie, romantic-type story</t>
  </si>
  <si>
    <t>Trixie looses her wagon. She attempts to enjoy the stay in Ponyville.</t>
  </si>
  <si>
    <t>Screw Ball comes to spread chaos and madness. She brings Screw Loose and Shocker along for the ride.</t>
  </si>
  <si>
    <t>Pinkie and Rarity have had their eyes set on each other for sometime. Sexytimes and romance ensue.</t>
  </si>
  <si>
    <t>One night Screw Loose is abused by the hospital guards in her padded cell.</t>
  </si>
  <si>
    <t>Gorefic ("Disturbing," but no porn. You've been warned.)</t>
  </si>
  <si>
    <t>Rainbow Dash gets fucked by Fluttershy and an OC. By accident.</t>
  </si>
  <si>
    <t>An attack during practice leaves you waking up in Equestria. (Second person fic)</t>
  </si>
  <si>
    <t>Chrysalis defeated Princess Celestia. Now what will happen to the mane six and their friends?</t>
  </si>
  <si>
    <t>Humanized Rainbow Dash and her attempts to seduce a guard</t>
  </si>
  <si>
    <t>Straight Octavia/OC shipping</t>
  </si>
  <si>
    <t>Fluttershy who's pregnant gets a present from her friend Twilight, and all seems well...</t>
  </si>
  <si>
    <t>Twilight airs her concerns about Princess Cadence to who she thinks is Celestia. It doesn't work out so well for her.</t>
  </si>
  <si>
    <t>Rainbow Dash's rape.</t>
  </si>
  <si>
    <t>This is the real ending to Leo Rockheart's story. There's more details in the full description.</t>
  </si>
  <si>
    <t>Silver Spoon wishes to experience a more traditional right of passage, but her mother will have none of it!</t>
  </si>
  <si>
    <t>Pinkie Pie isn't ever taken seriously; Fluttershy takes the reigns.</t>
  </si>
  <si>
    <t>A collection of the sun princess's most intimate encounters.</t>
  </si>
  <si>
    <t>She really doesn't.</t>
  </si>
  <si>
    <t>Cloudchaser and Flitter explore their sexuality together, because it doesn't count if it's your sister.</t>
  </si>
  <si>
    <t>Tipsy Luna is a very forwards pony! Now with 400% more socks!</t>
  </si>
  <si>
    <t>A clopfic featuring Rarity and Spike finds itself in the hooves of ponies in Ponyville. But did Spike write it?</t>
  </si>
  <si>
    <t>Perpetually pansexual pony Pinkie Pie parties with Ponyville's pervy population. Protection? Prohibited! Pregnancy? Probably!</t>
  </si>
  <si>
    <t>Rarity masturbates on thursdays.</t>
  </si>
  <si>
    <t>Rarity and Spike learn a valuable lesson in comparative sexual anatomy.</t>
  </si>
  <si>
    <t>Rainbow Dash is having a pretty normal boring day at school, as usual. Things heat up for everypony with her first heat building quickly....</t>
  </si>
  <si>
    <t>2nd Person human x pony story. Contains Femdom (FeMare Domination?)</t>
  </si>
  <si>
    <t>Twilight Sparkle's and Rarity's parents join the Cakes for a very special get together.</t>
  </si>
  <si>
    <t>Human anon X Twilight</t>
  </si>
  <si>
    <t>Fluttershy cheers up Rarity after a Heartbreak</t>
  </si>
  <si>
    <t>A short clopfic featuring Byron and Pinkie Pie as they demonstrate their love for each other.</t>
  </si>
  <si>
    <t>Spike meets a female dragon.</t>
  </si>
  <si>
    <t>Smarty Pants and Big Macintosh have a tea party. Then they fuck.</t>
  </si>
  <si>
    <t>Pinkie has a strange obsession.</t>
  </si>
  <si>
    <t>Side story to Tarnished Silver. Rarity wasn't always so sadistic; once she was a small, miserable foal. What turned her into a monster?</t>
  </si>
  <si>
    <t>AKA Fluttershy's Average Day.</t>
  </si>
  <si>
    <t>Rainbow Dash explores her feelings for her friends.</t>
  </si>
  <si>
    <t>Sleepover at Twi's!</t>
  </si>
  <si>
    <t>2nd person rarity waifufaggotry</t>
  </si>
  <si>
    <t>Twilight Sparkle x Rainbow Dash (futa)</t>
  </si>
  <si>
    <t>Derpy Loves Muffins. But do Muffins Love Derpy?</t>
  </si>
  <si>
    <t>Sequel to Tarnished Silver. What will Rarity do with Silver Spoon now that she is hers? And what is the sad secret of Silver's Cutie Mark?</t>
  </si>
  <si>
    <t>After the wedding, comes the honeymoon.</t>
  </si>
  <si>
    <t>Silver Spoon finds herself drawn uncontrollably to Rarity. A self-destructive obsession develops, until Silver begs Rarity to molest her.</t>
  </si>
  <si>
    <t>luna travels with the doctor. they eat out.</t>
  </si>
  <si>
    <t>Sam wakes up in Equestria stark naked and with no clue how he got there. More problematically, he seems to be in somepony's home.</t>
  </si>
  <si>
    <t>Twilight x Zecora, Snails x Celestia, Braeburn x Strongheart, RD x Gilda, Pinkie x Mrs. Cake, Rarity x Blueblood, Luna x Discord, Twimac</t>
  </si>
  <si>
    <t>Flitter X Cloudchaser, sad-ish, pretty shippy</t>
  </si>
  <si>
    <t>Twilight realizes she is in love with Princess Celestia, Fluttershy has feelings for Luna, and everypony gets laid.</t>
  </si>
  <si>
    <t>Twilight/Rarity/Spike threesome</t>
  </si>
  <si>
    <t>Pinkie Pie creates her greatest candy creation yet! But what takes place is more than just a sweet tooth... But also lust and desire...!</t>
  </si>
  <si>
    <t>Marcus is teleported into Equestria and is tasked by Princess Celestia with getting it on with the Mane 6</t>
  </si>
  <si>
    <t>Begins as a Female Human in Equestria revealing a dark underbelly of the pony world. Chapter 5: 'Trixie Part 1' up.</t>
  </si>
  <si>
    <t>A mare picks up an ad in the paper about a life-like machine.</t>
  </si>
  <si>
    <t>M/M Rule 63 Rainbow Dash and Pinkie Pie</t>
  </si>
  <si>
    <t>A CRISIS: Equestria fanwork/clopfic, starring Curaçao and Insipid. Futa.</t>
  </si>
  <si>
    <t>Applejack rapes Spike</t>
  </si>
  <si>
    <t>Firestorm x Mrs. Cake</t>
  </si>
  <si>
    <t>Twilight devises a plan to seduce Pinkie. It works.</t>
  </si>
  <si>
    <t>Scootaloo rapes Diamond Tiara</t>
  </si>
  <si>
    <t>After a disasterous Heart and Hooves Day for both Spike and Twilight, the two find solace in their friendship and a bottle of wine.</t>
  </si>
  <si>
    <t>The finale of the story following Leo Rockheart in his task to find himself a very special somepony.</t>
  </si>
  <si>
    <t>Pinkie Pie and Donut Joe celebrate joyous news with a night of new thrills.</t>
  </si>
  <si>
    <t>Twilight X Spike</t>
  </si>
  <si>
    <t>2nd person Nightmare Moon rape</t>
  </si>
  <si>
    <t>Anon x Trixie sex competition. Human on Pony.</t>
  </si>
  <si>
    <t>Genderbent Applebloom and Diamond Tiara. M/M</t>
  </si>
  <si>
    <t>Rarity dresses up and feminizes Caramel with the help of Pinkie Pie.</t>
  </si>
  <si>
    <t>Applejack wakes up with a hangover... and a stranger in her bed.</t>
  </si>
  <si>
    <t>Vinyl Scratch x Futashy (it's just what it sounds like)</t>
  </si>
  <si>
    <t>Cloudchaser's adventure to obtain a girlfriend!</t>
  </si>
  <si>
    <t>An amateur's attempt at 2nd person wish-fulfillment story, with possible traces of Engrish</t>
  </si>
  <si>
    <t>S &amp; M Fluttershy x Rainbow Dash</t>
  </si>
  <si>
    <t>Quickfire 2nd person x Luna bathing then anal</t>
  </si>
  <si>
    <t>Humanized Spike x Applejack</t>
  </si>
  <si>
    <t>A breaking-the-sound-barrier moment goes weary when your F-14 Tomcat disintigrates into Equestria.</t>
  </si>
  <si>
    <t>You spend a night with a cute little foal named Vixy.</t>
  </si>
  <si>
    <t>R63 Spike/Twilight</t>
  </si>
  <si>
    <t>The CMC attempt fanfictions, with varying results. A semi-parody of trollfic authors.</t>
  </si>
  <si>
    <t>Luna's night flight leads her to the company of a cowpony in Appleloosa.</t>
  </si>
  <si>
    <t>Cherry Jubilee has a special request of Caramel, her hired hoof...</t>
  </si>
  <si>
    <t>AJ and Soarin take their relationship to new heights.</t>
  </si>
  <si>
    <t>Gilda, Trixie, Flim and Flam have some fun.</t>
  </si>
  <si>
    <t>Mr. and Mrs. Cake are still active where it counts.</t>
  </si>
  <si>
    <t>Rainbow Dash falls in love with a watermelon.</t>
  </si>
  <si>
    <t>You encounter the Queen of the Changelings in the forest and fall to her seduction. Your only wish is to serve.</t>
  </si>
  <si>
    <t>Flitter, Cloud Chaser, diapers, watersports/scat, masturbation, NOT incest</t>
  </si>
  <si>
    <t>[M/M]Lickety Split's trip to the local club ends in a big way</t>
  </si>
  <si>
    <t>Rainbow Dash has been spending a lot of time reading at the library lately, and Twilight has started to take notice. Have some TwiDash.</t>
  </si>
  <si>
    <t>Twilight x Future Twilight x Chrysalis in book form. A trollfic</t>
  </si>
  <si>
    <t>R63 Spike / Human OC</t>
  </si>
  <si>
    <t>The sequel to 'Twilight's Tale'. I decided to break off the relationship with Leo and Twilight, seeing how mad that made some of you...</t>
  </si>
  <si>
    <t>Big Mac pollinates some mutant tulips... in the fun way.</t>
  </si>
  <si>
    <t>M/M light bondage cute and fun</t>
  </si>
  <si>
    <t>Rainbow Dash x Fluttershy</t>
  </si>
  <si>
    <t>The truth behind Twilight's unwillingness to make friends while in canterlot</t>
  </si>
  <si>
    <t>Rainbow Dash x Fluttershy x Pinkie Pie Kinky Goodness</t>
  </si>
  <si>
    <t>Lyra x Bon-bon x Rainbow Dash exploratory fun</t>
  </si>
  <si>
    <t>Applejack is feeling down so Pinkie helps her feel better with sex. Typical Applejack X Pinkie Pie Clopfic</t>
  </si>
  <si>
    <t>Another continuation of "Field Notes." Applejack x Rarity</t>
  </si>
  <si>
    <t>Shining Armor earns a promotion.</t>
  </si>
  <si>
    <t>Luna x Ace (the tennis guy from s1e12)</t>
  </si>
  <si>
    <t>Twilight Sparkle is alone as she tries to escape a maze of perverted traps Discord has created. All she wants are her friends...</t>
  </si>
  <si>
    <t>Twilight tries to write a sensual fanfic for her favorite show 'My Little Human'. Please don't take this seriously.</t>
  </si>
  <si>
    <t>Contains princest &amp; mild watersports</t>
  </si>
  <si>
    <t>Twilight invites Rainbow Dash and Fluttershy over for a weekend of fun. Hot and humanized.</t>
  </si>
  <si>
    <t>Lyra imagined humans, they are a construct of her mind. So how is one in her living room, seducing her?!</t>
  </si>
  <si>
    <t>Human crashes into Equestria, is put under Twilight's care. Can you get back home? Will you want to?</t>
  </si>
  <si>
    <t>[Fetish fuel] Berry Punch hooks up with her human barkeep, have a fun, freaky time.</t>
  </si>
  <si>
    <t>Twilight's mother learns the hard way how it is to be in heat with no way to get rid of it, that until a fateful visit from somepony...</t>
  </si>
  <si>
    <t>Apple Bloom gets involved with Big Mac in an intimate way; will she finally discover her special talent and get her cutie mark?</t>
  </si>
  <si>
    <t>The CMC go from town to town asking the mane 6 how they lost their virginities</t>
  </si>
  <si>
    <t>As a young stallion, Mr.Cake did something he's not very proud of. But that's all behind him now right?</t>
  </si>
  <si>
    <t>Human-woman-x-Featherweight (age boosted)</t>
  </si>
  <si>
    <t>Public sex in the library. Nothing more needs to be said except HUMANIZED.</t>
  </si>
  <si>
    <t>Pinkie/OC</t>
  </si>
  <si>
    <t>Derpy makes a new friend, and he bakes a fresh delicious muffin for her</t>
  </si>
  <si>
    <t>A human discovers that his relationship with a lavender mare may be more complex than he realized.</t>
  </si>
  <si>
    <t>Human Dash and Futashy</t>
  </si>
  <si>
    <t>Featuring Chrysalis and the CMC.</t>
  </si>
  <si>
    <t>Because honestly, who doesn't secretly want to bang their best friend?</t>
  </si>
  <si>
    <t>Humanized 1st person adult male with loli Luna</t>
  </si>
  <si>
    <t>D/s session with Rainbow Dash</t>
  </si>
  <si>
    <t>Brownie and the love of his life Raindrop decide to have a foal. Sex ensues... :d</t>
  </si>
  <si>
    <t>After a day at the market Rarity and Fluer meet up with Fancy Pants for some nighttime fun.</t>
  </si>
  <si>
    <t>Lyra meets her human. It doesn't go as expected.</t>
  </si>
  <si>
    <t>Rainbow accepts a challenge from the Wonderbolts. ;)</t>
  </si>
  <si>
    <t>You meet beautiful azure mare in a brothel in need of help.</t>
  </si>
  <si>
    <t>twilight x big macintosh.</t>
  </si>
  <si>
    <t>Princess Luna and her alter-ego have some fun with a newly captured Chrysalis.</t>
  </si>
  <si>
    <t>Big Mac decides to sex up Daisy, but even he can't believe what she can do with a daisy!</t>
  </si>
  <si>
    <t>The Cutie Mark Crusaders all take their turn "going at it" with Spike.</t>
  </si>
  <si>
    <t>Rarity/Fluttershy-in-socks</t>
  </si>
  <si>
    <t>The lost scenes of Transcend, featuring Chrysalis clop!</t>
  </si>
  <si>
    <t>Rainbow Dash borrows a book from Twilight's library ;)</t>
  </si>
  <si>
    <t>A race between Rainbow and Applejack settles more than their differences.</t>
  </si>
  <si>
    <t>Gilda, feeling lost, makes her way to a tavern to the north of Ponyville.</t>
  </si>
  <si>
    <t>Rainbow Dash finally gets to meet her idol, Spitfire. ;)</t>
  </si>
  <si>
    <t>Rainbow Dash wants you to give her a sonic raingasm. Do it, filly!</t>
  </si>
  <si>
    <t>Zecora and HiE Second-Person Fun</t>
  </si>
  <si>
    <t>A story about love potions, hearts and hooves day, and M. Night Shyamalan's favorite pony.</t>
  </si>
  <si>
    <t>Twilight Sparkle x Shining Armor</t>
  </si>
  <si>
    <t>Cloudchaser keeps Rumble company while his big brother is away</t>
  </si>
  <si>
    <t>Join Rainbow Dash as she reads Scootaloo's diary, entry by entry she discovers another shocking story.</t>
  </si>
  <si>
    <t>A unicorn stallion takes the night alone to try something new.</t>
  </si>
  <si>
    <t>Humanized. First-person adult male with loli Luna</t>
  </si>
  <si>
    <t>2nd person Pinkiefagging</t>
  </si>
  <si>
    <t>Twilight's encounters with a humanized Twilight leads to passion as well as heartbreak. (f/f)</t>
  </si>
  <si>
    <t>Matt spends an evening with his employer and mare-friend; Applejack.</t>
  </si>
  <si>
    <t>Twilight casts a spell that grants Rarity a new appendage for their latest sexual escapade.</t>
  </si>
  <si>
    <t>RD is in heat. OH SHI- (second person fic)</t>
  </si>
  <si>
    <t>The sequel to Who Rules?. A wager between Celestia and Luna shifts the balance in Ponyville.</t>
  </si>
  <si>
    <t>Apple Bloom likes "Unbirthing", AKA, vore.</t>
  </si>
  <si>
    <t>What does a goddess do, when she's in heat? Poni should poni poni, but should poni poni poni?</t>
  </si>
  <si>
    <t>Twilight invites all of her friends over for a sleepover. Fun, lighthearted clop.</t>
  </si>
  <si>
    <t>Nurse Redheart takes pity on a human that's ended up in Equestria.</t>
  </si>
  <si>
    <t>An earth pony takes Rainbow Dash in for the night from a raging storm.</t>
  </si>
  <si>
    <t>Rarity's new fandom interests tries the patience of her colfriend, Big Mac, but she loves it.</t>
  </si>
  <si>
    <t>Rainbow Dash &amp; Pinkie Pie: Captor &amp; Captive</t>
  </si>
  <si>
    <t>Applebloom's vengeance quest. Scores that big one.</t>
  </si>
  <si>
    <t>An awkward misunderstanding some cotton candy brings Pinkie and Rainbow Dash closer than ever.</t>
  </si>
  <si>
    <t>A pamphlet from the local library leads to Equestria. Sex happens.</t>
  </si>
  <si>
    <t>Rarity leads her coltfriend, Big Mac, into fetishes that he's not happy about.</t>
  </si>
  <si>
    <t>Alternate ending to the episode Dragon's Quest, taken after Spike is confronts the three teenage dragons to protect the egg.</t>
  </si>
  <si>
    <t>The CMC find a book that gives them some new experiences.</t>
  </si>
  <si>
    <t>Twilight receives a letter from Princess Celestia, giving her the task of receiving four zebra ambassadors</t>
  </si>
  <si>
    <t>Twilight &amp; Shining armor have one day before he leaves for training.</t>
  </si>
  <si>
    <t>Spike, feeling regretful, hopes to make his "second time" with Sweetie Belle as romantic as he can.</t>
  </si>
  <si>
    <t>If you want somewhat of a lol, read this.</t>
  </si>
  <si>
    <t>You, Soarin's human next-door neighbor, have heard his abusive relationship going on for too long.</t>
  </si>
  <si>
    <t>Twilight finally lets herself have some fun, indulging in some alone time.</t>
  </si>
  <si>
    <t>Rainbow Dash comforts a heartbroken Fluttershy, and then they do it.</t>
  </si>
  <si>
    <t>Celestia and Rarity have some steamy together time in her Canterlot luxury suite</t>
  </si>
  <si>
    <t>Dash is helping Pinkie make some cupcakes. One thing leads to another--Pinkie getting slightly injured--and sensuality ensues.</t>
  </si>
  <si>
    <t>HUMANIZED. When Spike has trouble sleeping at night Twilight offers a method to help cure his insomnia.</t>
  </si>
  <si>
    <t>In exchange for your love, Queen Chrysalis helps you, Fluttershy, finally reach satisfaction. Repeatedly. With lots of sex.</t>
  </si>
  <si>
    <t>Twi x Discord fic</t>
  </si>
  <si>
    <t>Trixie's entrance to her school's secret organization is screened - WITH SEXY RESULTS.</t>
  </si>
  <si>
    <t>Pinkie Pie explains to Twilight how she, with the help of Rainbow Dash, invented a new type of candy.</t>
  </si>
  <si>
    <t>Rainbow Dash joins Pinkie Pie in a trip to the Everfree Forrest to find a secret ingredient.</t>
  </si>
  <si>
    <t>Princess Celestia attends a cider party with the mane six, and then desperately has to pee; based on a Princess Molestia comic</t>
  </si>
  <si>
    <t>1st person male with Silver Spoon</t>
  </si>
  <si>
    <t>What if Princess Candyass hadn't been able to save the day?</t>
  </si>
  <si>
    <t>The mane six gains their own experience in what love and sex can do to both enhance and ruin relationships.</t>
  </si>
  <si>
    <t>The story of trials and rewards in the turmoil of an affair with the Changeling Queen.</t>
  </si>
  <si>
    <t>I offered to write it, and he agreed!</t>
  </si>
  <si>
    <t>Discord x Pinkie Pie. Random as all fuck.</t>
  </si>
  <si>
    <t>Twilight recruits Colgate in her quest to "fix" one of the unruly new human visitors.</t>
  </si>
  <si>
    <t>Applejack (micro) x Rainbow Dash</t>
  </si>
  <si>
    <t>Short speedfic involving anthro Twilight Sparkle being attacked by a goo monster.</t>
  </si>
  <si>
    <t>One-shot M/F/F Threesome. Fluttershy, Braeburn and Rarity. Rarity and Fluttershy sharing Braeburn as a pet. Lime.</t>
  </si>
  <si>
    <t>One-shot M/M/F Threesome. Applejack, Soarin', Braeburn. Soarin' as shared goods.</t>
  </si>
  <si>
    <t>One-shot straight. Rainbow Dash goes to Spitfire's place, but finds that her Polish cousin is in residence</t>
  </si>
  <si>
    <t>Derpy, Twilight, and Dashie have a threesome in this sequel fic.</t>
  </si>
  <si>
    <t>After the events of the season finale, Celestia decides she needs Shining Armor's love to be more powerful. All two feet of it.</t>
  </si>
  <si>
    <t>(Contains Watersports and Desperation)</t>
  </si>
  <si>
    <t>One-shot coltcuddling. Soarin' and Braeburn. Light spanking.</t>
  </si>
  <si>
    <t>Rainbow Dash gets big and has some fun. Macro/growth request from a friend.</t>
  </si>
  <si>
    <t>Twilight Sparkle x Spitfire</t>
  </si>
  <si>
    <t>Ruby Pinch meets a lonely colt.</t>
  </si>
  <si>
    <t>Twilight Sparkle vs Mind control</t>
  </si>
  <si>
    <t>Twilight X Spike 1-shot</t>
  </si>
  <si>
    <t>Fluer de Lis X Rarity First person Rarity *Complete*</t>
  </si>
  <si>
    <t>Futashy runs away from home, gets picked up by Trixie.</t>
  </si>
  <si>
    <t>You pay a visit to Vinyl Scratch at her night club, and sexy-times ensue (DAT ASS).</t>
  </si>
  <si>
    <t>OC, funny non-con</t>
  </si>
  <si>
    <t>A story of the heat in Ponyville and coping with mistakes made.</t>
  </si>
  <si>
    <t>Twilight secures a group of humans for study, pony is confizzled, sex ensues. Twilight x Multiple faceless humans to project upon</t>
  </si>
  <si>
    <t>Dash/Rarity Bondage session. They have an interesting relationship.</t>
  </si>
  <si>
    <t>Spike has a secret. One even Twilight doesn't know. He has a lust for pony urine...</t>
  </si>
  <si>
    <t>Incest stories and interactive</t>
  </si>
  <si>
    <t>Short Mr &amp; Mrs. Cake clopfic</t>
  </si>
  <si>
    <t>After answering FiM questions on the radio, a former President plays with a shy 'n sexy little pony.</t>
  </si>
  <si>
    <t>You wake up to find Braeburn waiting for you, and a very exciting morning follows.</t>
  </si>
  <si>
    <t>Not even a cursory attempt at a compelling story.</t>
  </si>
  <si>
    <t>It's the night of the Ponyville Molestation Celebration, and Twilight is determined that Princess Celestia make sweet love to her!</t>
  </si>
  <si>
    <t>*COMPLETE!* (Watersports) You watch Vinyl Scratch take a leak, then have sex with her. What more could you ask for?</t>
  </si>
  <si>
    <t>Twilight discovers m/m fapfiction for the first time and clops.</t>
  </si>
  <si>
    <t>Big Mac goes on a nice little vacation with his new human companion, but he comes upon his old coltfriend, Caramel.</t>
  </si>
  <si>
    <t>Rainbow Dash has always had an insatiable thirst for cider, but just how far will she go for it?</t>
  </si>
  <si>
    <t>Pinkie Pie, Fluttershy, and Caramel have a threesome.</t>
  </si>
  <si>
    <t>Celestia flashes back to a fun moment in the royal kitchen with Discord, her old lover.</t>
  </si>
  <si>
    <t>2nd person Trixie, by request</t>
  </si>
  <si>
    <t>While spike is cleaning twilight's library he notices a dirty magazine. Spike accumulates curiosity and lead's the CMC's into no good.</t>
  </si>
  <si>
    <t>Derpy comes upon a lonely stallion, Cinnamon Breeze, at the Avalon, a posh Canterlot club. They fall into each other's hooves.</t>
  </si>
  <si>
    <t>Trixie tries to summon an epic warrior demon to help her get revenge, but she brings "you" in instead. You start to fall for her.</t>
  </si>
  <si>
    <t>2nd Person, M/F, You and Rainbow Dash. After doing it with Cheerilee and Big Mac. You go after Rainbow Dash.</t>
  </si>
  <si>
    <t>Celestia and Luna at the beach. Luna's too uptight. Celestia calls the guards to help her relax.</t>
  </si>
  <si>
    <t>Applejack and Derpy face off in a contest to see who has the best butt, and how well they can use it</t>
  </si>
  <si>
    <t>Celestia tries to help her sister, but her own desires get in the way.</t>
  </si>
  <si>
    <t>Plagiarism of many stories, but with Dashie as main pony</t>
  </si>
  <si>
    <t>2nd person x Twilight x Applejack scientific studies.</t>
  </si>
  <si>
    <t>Soarin's nervous before his first big show, Spitfire helps him out</t>
  </si>
  <si>
    <t>Princess Celestia is secretly a very, very naughty Princess.</t>
  </si>
  <si>
    <t>One man. Sixteen Pinkie Pies. Delicious pink party pony milk. Expect surprises!</t>
  </si>
  <si>
    <t>Frostwind gets more than he expects when he is requested in the royal palace</t>
  </si>
  <si>
    <t>Everybody grows up.</t>
  </si>
  <si>
    <t>The Princess spends some time getting down and dirty with her public.</t>
  </si>
  <si>
    <t>Can Pinkie Pie find out who fucked her cake before they strike again? Or will somepony else be left with a creamy filling? (Gets a bit rapey</t>
  </si>
  <si>
    <t>When Twilight discovers erotic uses for the unicorn horn, she accidentally casts a spell which gives everypony a horn on their head.</t>
  </si>
  <si>
    <t>**Original story by PonyToast, I just revamped the love making scene.** "my little Dashie" x Human</t>
  </si>
  <si>
    <t>Mating season is here again. Fluttershy, sadly, has found herself without a partner. Her only comfort is the sapling inside her garden.</t>
  </si>
  <si>
    <t>Cloud Chaser takes a break from training.</t>
  </si>
  <si>
    <t>my little dashie x human</t>
  </si>
  <si>
    <t>Twilight and Spike pine for a secret love unbeknownst to one another.</t>
  </si>
  <si>
    <t>Lyra spends a night with Twilight after a small accident that happend to them.</t>
  </si>
  <si>
    <t>Rarity pays a visit to Earth to have a unique sexual experience with one very lucky brony</t>
  </si>
  <si>
    <t>One of Princess Luna's Dark Guards decides to be her 'special somepony' for Hearts &amp; Hooves day.</t>
  </si>
  <si>
    <t>Twilight tries to understand romance, and her spell results in unseen (and depraved) consequences.</t>
  </si>
  <si>
    <t>Pinkie Pie gives a unicorn a birthday cake, and a 'Pinkie Cake'.</t>
  </si>
  <si>
    <t>Twilight Sparkle takes personal charge in investigating the mystery of where alicorns come from.</t>
  </si>
  <si>
    <t>Author request delete since it keeps getting overridden</t>
  </si>
  <si>
    <t>Rainbow Dash finally mares up the oats to confess her love to Pinkie Pie. Sensuality ensues. *edit* &gt;corrections made</t>
  </si>
  <si>
    <t>A story derived from in-game events from my Dwarf Fortress game featuring a MLP mod. [SEX][GORE]</t>
  </si>
  <si>
    <t>Twilight and Trixie spend a night under the stars together, passionately in love.</t>
  </si>
  <si>
    <t>Contains Profanity. This is the start of a series I'm making. Scootaloo recalls her experiences with her parents. No clop in this chapter.</t>
  </si>
  <si>
    <t>Rarity X Fluttershy cuteness</t>
  </si>
  <si>
    <t>Celestia x Discord</t>
  </si>
  <si>
    <t>Shower with Soarin' and Spitfire after try-outs goes differently than planned, with sexy results.</t>
  </si>
  <si>
    <t>A night in the bedchambers of sexy Luna, who's packing some extra equipment for your enjoyment.</t>
  </si>
  <si>
    <t>Tit-worship with everyone's favorite princess. Second person, anonymous request as always</t>
  </si>
  <si>
    <t>Spike's plan to have a private party with rarity quickly turns into something much more exiting</t>
  </si>
  <si>
    <t>A fic about the 6 ponies' adventures with a magic dildo in season 2, episode 2.</t>
  </si>
  <si>
    <t>You end up in Equestria and fall deeply in love with Rainbow Dash. -Enjoy</t>
  </si>
  <si>
    <t>A short Twixie clop</t>
  </si>
  <si>
    <t>Rose watches Lily sleep.</t>
  </si>
  <si>
    <t>very kinky</t>
  </si>
  <si>
    <t>You x OC pony named Squiggles</t>
  </si>
  <si>
    <t>A new pony finds love.</t>
  </si>
  <si>
    <t>A fancolt sneaks into DJ Pon-3's dressing room and makes a weird discovery. Rule 63 m/m with some f/m/m thrown in, self-consciously silly.</t>
  </si>
  <si>
    <t>When a new pony appears in Ponyville, Twilight begins to have feelings for him...</t>
  </si>
  <si>
    <t>Discord's banishment sent him to human-land, where he turns some guy into a horse.</t>
  </si>
  <si>
    <t>Rainbow dash catches their male friend peeping at her and Spitfire in the showers at the beach</t>
  </si>
  <si>
    <t>M/M comedy with the fabulous Umber and the rest of the Stallions of Equestria dealing with sexually oblivious Ponyville hatter Tolliker</t>
  </si>
  <si>
    <t>Princess Celestia goes hunting for 'special genetic material' in the human world.</t>
  </si>
  <si>
    <t>Octavia and Vinyl Scratch mess around with electronics.</t>
  </si>
  <si>
    <t>Life for a human visiting Equestria at Braeburn's ranch takes a turn for the hot and sexy. (HiE, m/m, second person "you" character)</t>
  </si>
  <si>
    <t>Humanized Twilight x Discord</t>
  </si>
  <si>
    <t>2nd person Luna waifufiction</t>
  </si>
  <si>
    <t>Fluttershy reveals her feelings to Rainbow Dash</t>
  </si>
  <si>
    <t>Sam wakes up in Twilight Sparkle's bathroom to find his clothes missing and a displeased Unicorn on the other side of the door</t>
  </si>
  <si>
    <t>Rarity and Twilight go around and do cute things somewhat sexually</t>
  </si>
  <si>
    <t>1st person Twaifufaggotry with rape/assplay/anal/mild watersports</t>
  </si>
  <si>
    <t>The magical Twilight is to repopulate the human race with magic, so that it may never turn corrupt and greedy. Some Rape, HumanxTwilight</t>
  </si>
  <si>
    <t>Some bachelor parties are bittersweet. An m/m story.</t>
  </si>
  <si>
    <t>Twilight Sparkle, the ever-studious mare, visits the Royal Canterlot Library twice a month. Is she there for books? Or something else?</t>
  </si>
  <si>
    <t>COMPLETE Twilight learns of the deep seated love that Spike has for her.</t>
  </si>
  <si>
    <t>Twilight begins to study the more advanced sexual aspects of friendship, with Spike as the test subject.</t>
  </si>
  <si>
    <t>Lyra fantasizes about what it would be like to be with humans.</t>
  </si>
  <si>
    <t>2nd person x Twilight Sparkle erotic poetry reading session</t>
  </si>
  <si>
    <t>At summer flight camp young Fluttershy gets ambushed by Hoops and Dumb-Bell then makes a new friend in Rainbow Dash later...</t>
  </si>
  <si>
    <t>Humanized Twilight x anon, 2nd person perspective, set in real world</t>
  </si>
  <si>
    <t>Crackle desires a new dragon he spots and Crackle gets what he wants</t>
  </si>
  <si>
    <t>Join Lyra, Bon Bon, Octavia, and Vinyl as they as they take a trip into the past.</t>
  </si>
  <si>
    <t>2nd person wingfaggotry</t>
  </si>
  <si>
    <t>Cheerilee and Big Mac teach the Ponyville children about sex</t>
  </si>
  <si>
    <t>BDSM/Watersports. Things change for Spike when he gets caught spying on Rarity in the shower.</t>
  </si>
  <si>
    <t>Pinkie and Rainbow spend quality time together after Rainbow returns home from Wonderbolts training.</t>
  </si>
  <si>
    <t>Rainbow Dash catches Twilight studying ancient porn. Sex with magic ensues.</t>
  </si>
  <si>
    <t>Pinkie Pie forgot to pee before getting into her skin-tight suit (contains watersports)</t>
  </si>
  <si>
    <t>an oc s/m rape fanfic</t>
  </si>
  <si>
    <t>Rarity falls for Big Macintosh</t>
  </si>
  <si>
    <t>Trixie rapes Twilight, but Twilight gets help from Rainbow to get back at Trixie</t>
  </si>
  <si>
    <t>Rape. When Twilight walks home from the Sweet Apple Acres after a dinner, something happens. Something unforgivable.</t>
  </si>
  <si>
    <t>DP, blowjob, threesome</t>
  </si>
  <si>
    <t>Sparkle milk is made with love...</t>
  </si>
  <si>
    <t>AJ/Cherry Jubilee, minor continuity with Romance Reports</t>
  </si>
  <si>
    <t>Lyra goes to FleshieCon in New Yoke</t>
  </si>
  <si>
    <t>Twilight Sparkle receives a package she was waiting for, for use in more of her and Rainbow Dash's sexual experiments.</t>
  </si>
  <si>
    <t>Two pesgasi, whose love has at last found a home.</t>
  </si>
  <si>
    <t>A stallion meets Ocatvia at the Gala, and things quickly build from there.</t>
  </si>
  <si>
    <t>Different pony pairings Read description.</t>
  </si>
  <si>
    <t>Daring do tentacle rape, 'nuff said</t>
  </si>
  <si>
    <t>Rarijack shipfuckery.</t>
  </si>
  <si>
    <t>Twilight decides she needs to marry Shining Armor before that hussy Cadence can!</t>
  </si>
  <si>
    <t>Twilight goes back in time and has sex with herself.</t>
  </si>
  <si>
    <t>A duel between Celestia and Luna elicits and interesting response in the two sisters.</t>
  </si>
  <si>
    <t>[dress up fanfic] Big Mac has to foalsit the CMC, but they want it the other way around! Ageplay abound in this one-shot by Mysti-Inferno</t>
  </si>
  <si>
    <t>You come across a cross-eyed pony in the Everfree Forest: What do you do? Have sex with it of course!</t>
  </si>
  <si>
    <t>Cloppy princest one-shot.</t>
  </si>
  <si>
    <t>Part 6. Will Anon remain submissive? Or will he step up?</t>
  </si>
  <si>
    <t>A collection of short fics showing the naughtier side of Equestrian life.</t>
  </si>
  <si>
    <t>Because I don't even know</t>
  </si>
  <si>
    <t>Firestorm is aiding Fluttershy on a nature walk, but his secret thoughts about her are soon exposed</t>
  </si>
  <si>
    <t>Soarin gets the newest edition of Sports Equistrated, leading to an intense moment with Spitfire.</t>
  </si>
  <si>
    <t>(Contains Macro/Micro) Rainbow find an acceptance letter from the Wonderbolts in her mail and decides to celebrate it with her coltfriend.</t>
  </si>
  <si>
    <t>Vinyl Scratch gets an email with an "interesting" music track</t>
  </si>
  <si>
    <t>Second-person perspective, Rarity and Twilight hire a pony to help them retrieve a gem from the Depths of Desire, with sexy results</t>
  </si>
  <si>
    <t>Second-person perspective, an overheard conversation leads to a menage a trois with Twilight and Dash</t>
  </si>
  <si>
    <t>Second-person perspective Sparkle seduction</t>
  </si>
  <si>
    <t>Applejack and Rainbow Dash are out for a run in the woods when an accident leaves the two in an awkward situation.</t>
  </si>
  <si>
    <t>Humanized Fluttershy/Rarity</t>
  </si>
  <si>
    <t>Twilight is invited to the castle, along with Soarin, Blueblood and Big Mac to study something special.</t>
  </si>
  <si>
    <t>Spike/Philomena</t>
  </si>
  <si>
    <t>Spike/Rarity</t>
  </si>
  <si>
    <t>When Ahuitzotl captures Daring Do for a purpose other than killing her, Daring tries (and fails) to escape.</t>
  </si>
  <si>
    <t>Twilight x Rainbow Rainbow x Fluttershy</t>
  </si>
  <si>
    <t>Where I'm putting all of the things I'm writing by request, to avoid filling up the main page</t>
  </si>
  <si>
    <t>Any kind of description would really ruin the story, but suffice to say it's some really long plot with hot sex at the end.</t>
  </si>
  <si>
    <t>Rarity and Twilight fight over Spike's power-boosting semen.</t>
  </si>
  <si>
    <t>Luna must deal with the consequences of her illicit romance with a common unicorn. The reader has five ending choices.</t>
  </si>
  <si>
    <t>The Mayor finds herself falling for a scruffy young criminal with a knack for brewing.</t>
  </si>
  <si>
    <t>Nightmare Moon falls for a an awkward young stallion that looks like a male Twist. The reader has four ending choices.</t>
  </si>
  <si>
    <t>Twilight's studies are interrupted by a much needed Rainbow Dash.</t>
  </si>
  <si>
    <t>Go to the page and vote "Twilight Sparkle"</t>
  </si>
  <si>
    <t>Rarity is forced into sexual slavery.</t>
  </si>
  <si>
    <t>CMC/Diamond Tiara/Silver Spoon; Sweetie Belle/Human</t>
  </si>
  <si>
    <t>A fic between Hoity Toity, and Porter the bellhop from Sweet and Elite</t>
  </si>
  <si>
    <t>2nd person rule 63 Flim Flam brothers</t>
  </si>
  <si>
    <t>Rarity makes Rainbow Dash pay for ditching her in the desert... via rape.</t>
  </si>
  <si>
    <t>Spike has been stuck in Rarity's house due to a massive blizzard! How will this end?</t>
  </si>
  <si>
    <t>Spike and Twilight are on shaky grounds due to Twilight's past use of spells to manipulate her way to sexual pleasure.</t>
  </si>
  <si>
    <t>2nd person human x pony lactation.</t>
  </si>
  <si>
    <t>Trixie, desperate for money, "entertains" a lucky stallion.</t>
  </si>
  <si>
    <t>Twirity. Because Twirity.</t>
  </si>
  <si>
    <t>Discord, during his reign of chaos, has some fun with Pinkie.</t>
  </si>
  <si>
    <t>It ends up as TwiDash for some reason!</t>
  </si>
  <si>
    <t>Series of short stories with different characters written by requests.</t>
  </si>
  <si>
    <t>The Sexy Adventures of YOU!</t>
  </si>
  <si>
    <t>The sexy adventures of Spike in ponyville</t>
  </si>
  <si>
    <t>Applejack is working as a 'lady of the night' for Cherry Jubilee. What will she do when she discovers her next customer is Rainbow Dash?</t>
  </si>
  <si>
    <t>Trixie meets the Flim Flam Brothers. Will they help her get revenge on Twilight Sparkle? (No.)</t>
  </si>
  <si>
    <t>Clopfiction with strong sexual content: do NOT read if you don't like it! You've been warned!</t>
  </si>
  <si>
    <t>Twilight and Fluttershy, Trixie and Luna, Celestia and Big Macintosh - Saucy clopfic.</t>
  </si>
  <si>
    <t>human anon x humanized Pinkie, set in real world (second person)</t>
  </si>
  <si>
    <t>Fluttermac shipping, 4 chapters with sex at the end</t>
  </si>
  <si>
    <t>Future; Apple Bloom x Pipsqueak</t>
  </si>
  <si>
    <t>(2nd person fic) As a new servant in the Canterlot Palace, you discover that Princess Celestia has a secret persona. (Part 2 up and running)</t>
  </si>
  <si>
    <t>A return to normalcy. Contains some S&amp;M elements (bondage, needleplay).</t>
  </si>
  <si>
    <t>A revenge fic. Foalcon, M/M, pseudo-rape and bondage.</t>
  </si>
  <si>
    <t>A stallion moves to Ponyville and has an experience with each of the Mane 6. 2nd person clopfic, also my first.</t>
  </si>
  <si>
    <t>Lily's friends get her some medication to help with her anxiety, but after an accidental OD, things get weird. MELTING PONIES.</t>
  </si>
  <si>
    <t>Hoity Toity / Big Macintosh clop. Anthro. Muscle/semi-Hyper</t>
  </si>
  <si>
    <t>Big Mac is having a little trouble when certain 'urges' hit him. Luckily, Cheerilee knows just the solution.</t>
  </si>
  <si>
    <t>Pinkie, Rarity, Derpy, and Pip. Orgy and Pony Centipede. Indirect continuation of 'Orgy of nightmare night'.</t>
  </si>
  <si>
    <t>Cheerilee x Big Macintosh</t>
  </si>
  <si>
    <t>Applejack may have won the farm, but she still lost a bet. Free &gt;rape with purchase..</t>
  </si>
  <si>
    <t>Ashamed of their ABDL fantasies, TS and RD find kindred spirits in one another.</t>
  </si>
  <si>
    <t>Twilight rapes Spike</t>
  </si>
  <si>
    <t>Human x Pony Rarity Waifufaggotry Goo</t>
  </si>
  <si>
    <t>Big Macintosh and Rainbow Dash have some fun.</t>
  </si>
  <si>
    <t>Filthy Rich wants to make a deal. Big Mac wants to get laid.</t>
  </si>
  <si>
    <t>(2nd person/male) After what seems like years you run into Rainbow Dash, your old classmate and old school time crush.</t>
  </si>
  <si>
    <t>Rainbow Dash works to help Twilight lose some packed on weight. Results involve some sexy new feelings between the two</t>
  </si>
  <si>
    <t>Rarity and Applejack have a small dispute, Which leads Rarity to an interesting solution</t>
  </si>
  <si>
    <t>A story about Gilda and Dash in Flight School</t>
  </si>
  <si>
    <t>Stallion encounters Vinyl Scratch a local club, get together for a fun evening.</t>
  </si>
  <si>
    <t>2nd person with Twilight, admitting your undying love for her.</t>
  </si>
  <si>
    <t>Luna and Pipsqueak and Trixie have an orgy, with a surprise appearance from Derpy.</t>
  </si>
  <si>
    <t>M/M, Big Macintosh and Filthy Rich</t>
  </si>
  <si>
    <t>The CMC are comited to each other but as they get older they start to have feelings for certain ponies.</t>
  </si>
  <si>
    <t>After using Heart's Desire again to obtain a cutie mark, Apple Bloom is punished in a way she never expected...</t>
  </si>
  <si>
    <t>Derpy x Dash because why the fuck not</t>
  </si>
  <si>
    <t>Humanized TwiMac</t>
  </si>
  <si>
    <t>After the Wonderbolts show in Ponyville, Dash decides to have some fun with Soarin.</t>
  </si>
  <si>
    <t>In this chapter, we discover why Applejack was the way she was towards Rarity.</t>
  </si>
  <si>
    <t>Rainbow Dash is invited to Sugarcube Corner to help Pinkie Pie try out her brand-new pasta maker, and an orgy ensues.</t>
  </si>
  <si>
    <t>Lickety Split/Strike - Strike goes on a camping trip with his best friend, Lickety, in order to celebrate his cutie mark</t>
  </si>
  <si>
    <t>Berry Punch x Snails; Features anal play, inventive use of a bottle of wine, and sex.</t>
  </si>
  <si>
    <t>In which an ill Twilight is nursed with extreme waifufaggotry</t>
  </si>
  <si>
    <t>Saucy 2nd-person fic. Male human in Equestria is invited to Roseluck's place after a bad day...</t>
  </si>
  <si>
    <t>anon x food ponies</t>
  </si>
  <si>
    <t>On a cold winter's night, Fluttershy and Macintosh express their love for each other. Married couple, pregnancy, romantic.</t>
  </si>
  <si>
    <t>Because even sun goddesses need a little love</t>
  </si>
  <si>
    <t>A Royal Guard finds all he ever wanted in love, in Luna. 2nd person.</t>
  </si>
  <si>
    <t>Optional sexy extra scene to "A Well-Deserved Break: The Other Way to a Unicorn's Heart" - 2nd-person you x Twilight</t>
  </si>
  <si>
    <t>Nurse Redheart gives her patient the very "special" treatment!</t>
  </si>
  <si>
    <t>Big mac and Applejack discover the truth about their love for each other</t>
  </si>
  <si>
    <t>Fluttershy follows Dash one night, desperate for something, but what will she have to do for it?</t>
  </si>
  <si>
    <t>Its the next morning after Twilight showed up at Rarity's shop. Rarity decided to let Cheerilee know about what happened between them.</t>
  </si>
  <si>
    <t>After being on the moon for 100 years, Luna wants to have some fun.</t>
  </si>
  <si>
    <t>Another unattainable fic, this time with Pinkie Pie</t>
  </si>
  <si>
    <t>Carrot Top/Derpy Hooves, Humanized</t>
  </si>
  <si>
    <t>So you've moved to Ponyville. Is it everything you were expecting?</t>
  </si>
  <si>
    <t>Rainbow Dash and Pinkie Pie. Bondage addition!</t>
  </si>
  <si>
    <t>Scootaloo wants to be 'bigger', but she will soon get more than she bargained for.</t>
  </si>
  <si>
    <t>Three short stories I wrote one night when the internet was out. Don't hate, wrote 'em in an hour.</t>
  </si>
  <si>
    <t>Spike x Filly Twilight. Spanking.</t>
  </si>
  <si>
    <t>Previously known as "Rainbow Dash's Secret" Fluttershy's wetting accident leads Rainbow Dash to remember an old fetish.</t>
  </si>
  <si>
    <t>R63 Prince Solaris/Dusk Shine/Butterscotch - A magic demonstration goes horribly wrong with some sexy side effects.</t>
  </si>
  <si>
    <t>anon x humanized Applejack set in the real world second person perspective.</t>
  </si>
  <si>
    <t>Bon-Bon/Soarin'/Lyra, stud service.</t>
  </si>
  <si>
    <t>Spike, tired of being rejected by Rarity, goes after Sweetie Belle instead.</t>
  </si>
  <si>
    <t>AJ, RD and Pinkie Pie masturbate using stationary dildos</t>
  </si>
  <si>
    <t>Ice/Money Shot - Caught trying to sneak into the performance Money Shot has an impromptu photo shoot with a certain bouncer pony.</t>
  </si>
  <si>
    <t>(M/M) Two ponies find out that vengeance doesn't always have the result you expect.</t>
  </si>
  <si>
    <t>Applejack challenges you to a drinking contest, but it doesn't go as planned. AnonxApplejack, Anal sex, 2nd person</t>
  </si>
  <si>
    <t>Rarity has no idea what is going to happen with her and Twilight after what Spike has seen. She feels the worst is going to happen.</t>
  </si>
  <si>
    <t>Pinkie Pie x female human wish fulfillment goo. Nice.</t>
  </si>
  <si>
    <t>A group of short one shots focusing on watersports.</t>
  </si>
  <si>
    <t>It's been a few days since Rarity was over at Twilight's. She has a secret she needs to tell her, but is unsure if she wants to or not.</t>
  </si>
  <si>
    <t>2nd person human x pony wish-fulfillment waifufaggotry goo</t>
  </si>
  <si>
    <t>Rarity can't remember what she did for the life of her. Maybe she best ask Twilight.</t>
  </si>
  <si>
    <t>Lickety-Split visits Sugarcube corner for a treat, forgetting his money he offers his help instead.</t>
  </si>
  <si>
    <t>Prince Blueblood has some personal time with the royal pegasus guards.</t>
  </si>
  <si>
    <t>Anon has a rough night on the club scene</t>
  </si>
  <si>
    <t>A very cloppy alternate version of Hearth's Warming Eve</t>
  </si>
  <si>
    <t>A human revolutionary has his ambitions checked by a powerful demigoddess</t>
  </si>
  <si>
    <t>Anon has a little run in with Apple Bloom on his way to the Apple farm in search of work</t>
  </si>
  <si>
    <t>R63 - Scootaroll stumbles on Rainbow Blitzs training and decides to pleasure himself, however he gets caught by a thoughtfull Blitz.</t>
  </si>
  <si>
    <t>Twilight reaches Rarity's boutique will things go according to plan? doubt it.</t>
  </si>
  <si>
    <t>Annon has an unexpected run-in with Pinkie Pie</t>
  </si>
  <si>
    <t>Saucy 2nd-person fic. Female human in Equestria takes a job in room service, and finds a novel way to serve Soarin's dessert...</t>
  </si>
  <si>
    <t>Trixie returns after her performance and wishes to 'give' something back</t>
  </si>
  <si>
    <t>Annon is invited by Trixie for some 'fun' before a performance, what could this be?</t>
  </si>
  <si>
    <t>A series of fics based on various MLP:FiM characters.</t>
  </si>
  <si>
    <t>Twilight x mane cast rule 63</t>
  </si>
  <si>
    <t>Spike x Twilight, Spike x Pinkie, first fanfiction I've written</t>
  </si>
  <si>
    <t>Short clopfic I made. HumanxRD, some mildly forced eating, touching and rubbing. 2nd person</t>
  </si>
  <si>
    <t>Fleur De Lis and Caramel. When country charm meets higher living, things are sure to get interesting.</t>
  </si>
  <si>
    <t>Rainbow Dash x Royal Guard</t>
  </si>
  <si>
    <t>Etta Trixie finally gets a new assistant to replace the one she lost in the 'incident'. This means just one thing: time to break it in!</t>
  </si>
  <si>
    <t>Princess Luna loves the human body; yours that is. Licking fetish, includes rimming and oral/vanilla/anal sex. Gird your loins.</t>
  </si>
  <si>
    <t>A new recruit in the royal guard, who is a virgin and ashamed of it, gets some "help" from Princess Celestia to remedy his "problem"...</t>
  </si>
  <si>
    <t>Ruby Pinch has an encounter with her mother's one night stand.</t>
  </si>
  <si>
    <t>Grimdark Zecora x applebloom rape.</t>
  </si>
  <si>
    <t>Rape with Luna/Celestia/Background Ponies</t>
  </si>
  <si>
    <t>Rape with Celestia/Luna/Royal Guards/Mane 6</t>
  </si>
  <si>
    <t>Rarispike with milking, and whatever TwilightxSpike is called with sex. Celestia bitpart at the end. I can be proud of this fic.</t>
  </si>
  <si>
    <t>1st person bisexual guard with Futalestia and Luna.</t>
  </si>
  <si>
    <t>What happens when you work one job for too long. (Guard rapes mane 6. Non-violent fantasy style rape.)</t>
  </si>
  <si>
    <t>Saucy 2nd-person lime. Human in Equestria discovers something about Ziggy Stardust that he's been keeping hidden for a while.</t>
  </si>
  <si>
    <t>Fluttershy secretly wants to be touched, it's pretty awful. I feel bad for writing this. FluttershyxAnon</t>
  </si>
  <si>
    <t>Trixie's continuing attempts to control Twilight's mind, and their lack of success</t>
  </si>
  <si>
    <t>Four all powerful alicorns arrive from the Everfree forest, and their presence in Equestria will cause a storm</t>
  </si>
  <si>
    <t>Saucy 2nd-person lime. Human in Equestria attempts to out-drink Spitfire. Hilarity ensues</t>
  </si>
  <si>
    <t>Cheerilee discovers her love for Applebloom</t>
  </si>
  <si>
    <t>Rainbow sees her world fall apart when her friends begin to betray her.</t>
  </si>
  <si>
    <t>Nick Evans, formerly Wind Chaser, gets an unexpected visitor from Equestria. The story of a shitty self-insert, self-promoting, insecure kid</t>
  </si>
  <si>
    <t>Everypony molested as a foal. (Twilight gets off on it as an adult.)</t>
  </si>
  <si>
    <t>Soarin chats up Derpy and Colgate while working on Hearths Warming Eve</t>
  </si>
  <si>
    <t>Short 2nd Person Male Human x Braeburn.</t>
  </si>
  <si>
    <t>And the story continues...</t>
  </si>
  <si>
    <t>Zecora x Little Strongheart</t>
  </si>
  <si>
    <t>After helping out all day with Rarity, she decides to take Firestorm to the spa for a relaxing treatment</t>
  </si>
  <si>
    <t>(Contains Macro/ Micro) Rainbow reads the diary of a close friend that's staying in her home and finds out more than she expected.</t>
  </si>
  <si>
    <t>1st person wish-fulfillment waifufaggotry, Alicorn Twilight edition</t>
  </si>
  <si>
    <t>Good ol' Apple family lovin'</t>
  </si>
  <si>
    <t>Older rarity X Older Spike</t>
  </si>
  <si>
    <t>Fluttershy finds someone new</t>
  </si>
  <si>
    <t>Adventure's of Spike in Ponyville</t>
  </si>
  <si>
    <t>Fallout: Equestria clopfic</t>
  </si>
  <si>
    <t>2nd person human x pony wish-fulfillment goo.</t>
  </si>
  <si>
    <t>Rainbow Dash and Pinkie Pie get it in the end =P</t>
  </si>
  <si>
    <t>1st person wish-fulfillment waifufaggotry</t>
  </si>
  <si>
    <t>2nd person human x pony wish-fulfillment goo, lactation</t>
  </si>
  <si>
    <t>Fancy Pants comes home to a lovely surprise from Fleur de Lis</t>
  </si>
  <si>
    <t>2nd person, foodscat</t>
  </si>
  <si>
    <t>Luna x Royal Guards</t>
  </si>
  <si>
    <t>RD, PP, Big Mac Threesome</t>
  </si>
  <si>
    <t>Teenaged Cheerilee and Big Mac, with some Apple family history.</t>
  </si>
  <si>
    <t>1st person human x pony wish-fulfilment goo</t>
  </si>
  <si>
    <t>2nd person human x pony wish-fulfillment goo</t>
  </si>
  <si>
    <t>Twi+Dash after Sonic Rainboom</t>
  </si>
  <si>
    <t>2nd person human x pony wish-fulfilment goo</t>
  </si>
  <si>
    <t>Twilight returns to magic kindergarten and is regressed in age by Trixie.</t>
  </si>
  <si>
    <t>Spoof: Gilda is determined to make Rainbow Dash destroy Ponyville with a Sonic Raingasm. Can Dash control her libido or is Ponyville doomed</t>
  </si>
  <si>
    <t>Spike x Fluttershy</t>
  </si>
  <si>
    <t>Rarity develops a relationship with Big Mac</t>
  </si>
  <si>
    <t>Human x Celestia</t>
  </si>
  <si>
    <t>What if twist was in my bed?</t>
  </si>
  <si>
    <t>The famed pony lover Casaneighva has his eyes set on Luna. But is the Princess too much for even him to handle?</t>
  </si>
  <si>
    <t>Twixie Fun with Trixie as the bottom</t>
  </si>
  <si>
    <t>Mayor Mare gives Fluttershy a punishment neither of them will forget.</t>
  </si>
  <si>
    <t>Humanized sequel to 'Trapping the Quarterback'</t>
  </si>
  <si>
    <t>The now infamous tale of Bright Eyes AKA Derpy Hooves AKA Ditzy Doo with her one true love read all over YouTube...</t>
  </si>
  <si>
    <t>The tables have been turned and now it is Trixie's turn to suffer!</t>
  </si>
  <si>
    <t>Twilight and friends discover they had far more in common than they would have guessed. They share intimate secrets and bonding ensues.</t>
  </si>
  <si>
    <t>Applejack gets a visit from a disguised woman.</t>
  </si>
  <si>
    <t>Big Macintosh disowns Applejack after finding out about her relations with Rarity.</t>
  </si>
  <si>
    <t>Complete! Twilight's birthday is tomorrow, so her friends are setting up a party! Can Applejack and Rainbow Dash keep their feelings at bay?</t>
  </si>
  <si>
    <t>A mishap with Zecora's usual brew causes her body to change and grow!</t>
  </si>
  <si>
    <t>As her first sleepover comes to a close, Twilight finds herself dealing with a situation that the book never mentioned.</t>
  </si>
  <si>
    <t>Applebloom and Spike experiment with one another during the summer. However Apple Bloom suspects that she's pregnant with Spike's child.</t>
  </si>
  <si>
    <t>Twilight/Pinkie/Spike</t>
  </si>
  <si>
    <t>Saucy 2nd-person lime. Human in Equestria is invited to Pokey Pierce's coltcuddling night club.</t>
  </si>
  <si>
    <t>The Cutie Mark Crusaders bust in on two ponies, hilarity ensues!</t>
  </si>
  <si>
    <t>Spike x Mane 6 / Twilight x Rainbow Dash</t>
  </si>
  <si>
    <t>Fully revised version of "Wet Adventure" (contains watersports)</t>
  </si>
  <si>
    <t>The story continues! The shameless Twilestia sequel to Where a Mind Wanders. How does Celestia respond to a most unusual friendship report?</t>
  </si>
  <si>
    <t>Pinkie Pie, Fluttershy, Twilight Sparkle, and tentacles.</t>
  </si>
  <si>
    <t>Another "Twilight's spell gone wrong" clopfic, this time involving macro growth. And sex. As usual.</t>
  </si>
  <si>
    <t>Violently raping Twilight</t>
  </si>
  <si>
    <t>Trixie and Twilight get together for a special kind of lesson</t>
  </si>
  <si>
    <t>A small parody of badly written clopfics I made once upon an afternoon. Don't take it seriously! :3</t>
  </si>
  <si>
    <t>Twilight gets a strange present from Rarity</t>
  </si>
  <si>
    <t>First clopfic. Hope you enjoy.</t>
  </si>
  <si>
    <t>Twilight and Rainbow Dash have quick, sloppy sex in public</t>
  </si>
  <si>
    <t>Derpy Hooves awoke to find herself more happy than usual today. For it was her birthday, of course!</t>
  </si>
  <si>
    <t>Fantasy fic, describing the utmost unattainable. Written in good humor.</t>
  </si>
  <si>
    <t>Bon Bon wants to congratulte Lyra on a show well done.</t>
  </si>
  <si>
    <t>Human in Equestria self-insert parody starring Butterscotch Sundae</t>
  </si>
  <si>
    <t>Sweetie Belle was bored one day and decided to polish Tom, then Pinkie Pie and Pokey Pierce join in. Hilarity ensues!</t>
  </si>
  <si>
    <t>the continuing adventures of a human in equestria. now it's the turn of applejack...</t>
  </si>
  <si>
    <t>The Mane six character's wet dreams, for your reading pleasure.</t>
  </si>
  <si>
    <t>You visit Carrot Top to get some carrots. [UPDATED]</t>
  </si>
  <si>
    <t>Felixia finds herself in a jail cell... Right next to Celestia.</t>
  </si>
  <si>
    <t>The secret world of Twilight</t>
  </si>
  <si>
    <t>Rarity and Fluttershy have a sleepover at Twilight's. When some tequila and carrots come into the equation, word eventually reaches Luna.</t>
  </si>
  <si>
    <t>The CMCs, Pipsqueak, and Spike have an orgy. Luna watches.</t>
  </si>
  <si>
    <t>Princess Luna and Twilight share a night of heated yearning and marital bliss.</t>
  </si>
  <si>
    <t>Vinyl Scratch finishes her nights as she usually does, but this time with a drunken Berry Punch in tow! How will this night end?</t>
  </si>
  <si>
    <t>Rarity continues work at the carousel boutique, but she strongly yearns for a romantic experience.</t>
  </si>
  <si>
    <t>Set in a dark and violent town a young dancer tries to escape her life. Starting out as a snuff story. Fair warning.</t>
  </si>
  <si>
    <t>Continued straight from where Moon Dancers left off, Eclipse wants her princess, but... isn't the pair forgetting something?</t>
  </si>
  <si>
    <t>Hot steamy Celestia/Dash dubcon devolves into crackfic. Based on an Ask Molestia strip.</t>
  </si>
  <si>
    <t>Soarin' x Spitfire</t>
  </si>
  <si>
    <t>The Cutie Mark Crusaders set out to find their cutie marks in a quite unconventional manner.</t>
  </si>
  <si>
    <t>HM/M A human and a pony are trapped in the beta-paddock in midsummer, missing the festival.</t>
  </si>
  <si>
    <t>Rarity decided to sell more than clothes. Hilarity and tragedy ensue.</t>
  </si>
  <si>
    <t>Rarity/OC request in nigh-purple prose.</t>
  </si>
  <si>
    <t>Firestorm an earth pony is mysteriously given a letter from Princess Celestia to head to the Everfree forest, what could go wrong?</t>
  </si>
  <si>
    <t>The most homosexual (non-lesbian) clopfic ever!</t>
  </si>
  <si>
    <t>Humanized Fluttershy x Spike</t>
  </si>
  <si>
    <t>Draconequus fun. More dumb innuendo.</t>
  </si>
  <si>
    <t>Applejack X Spike; Pegging</t>
  </si>
  <si>
    <t>RARITY AND TOM HAVE SEXY SEX!</t>
  </si>
  <si>
    <t>Applejack had grown tired of being alone on the farm. So she head to a black club to find some stallion to sleep with.</t>
  </si>
  <si>
    <t>Gilda gets a private show from Trixie</t>
  </si>
  <si>
    <t>Rarity and Starlight Bright take a chance to be pupils at Miss Madame's Fashion Camp. 'Shenanigans' ensue.</t>
  </si>
  <si>
    <t>1st Person Twilight. Nyx sluttery</t>
  </si>
  <si>
    <t>Sad, Tragic, Dark, Rape, Spike x Winona</t>
  </si>
  <si>
    <t>Trixie gets caught by Applejack sneaking back into Ponyville, and a choice is offered</t>
  </si>
  <si>
    <t>Celestia invites Twilight for a special teaching lesson.</t>
  </si>
  <si>
    <t>Rarity gives Twilight Sparkle a massage. And then they have sex.</t>
  </si>
  <si>
    <t>Dragon Twilight/Spike quickfic</t>
  </si>
  <si>
    <t>Fluttershy &amp; Rainbow dash. Cupcakes parody, infantilism (full list of all fetishes and such in full desc)</t>
  </si>
  <si>
    <t>Humanized SpitfirexRainbow Dash</t>
  </si>
  <si>
    <t>Humanized Trixie x Spa Ponies</t>
  </si>
  <si>
    <t>Comic; WIP, 13 pgs.</t>
  </si>
  <si>
    <t>Twilight masturbating with books</t>
  </si>
  <si>
    <t>The beginning of a life-long obsession</t>
  </si>
  <si>
    <t>Gilda solo</t>
  </si>
  <si>
    <t>humanized Ponyville-wide gang rape of Fluttershy, with "female bukkake," featuring Photo Finish and her assistants</t>
  </si>
  <si>
    <t>Human; Second-Person w. Derpy</t>
  </si>
  <si>
    <t>Scootaloo suffers an accident and chaos unfolds -Part 3 is up</t>
  </si>
  <si>
    <t>Cupcakes, but erotic</t>
  </si>
  <si>
    <t>Celestia sends Luna to 'teach' Twilight Sparkle some lessons. Luna happily takes matters into her own hooves...</t>
  </si>
  <si>
    <t>Celestia unwinds after a long day.</t>
  </si>
  <si>
    <t>Rarity and Pinkie Pie indulging in some scatty fun.</t>
  </si>
  <si>
    <t>Rape</t>
  </si>
  <si>
    <t>Steven Magnet x Manticore</t>
  </si>
  <si>
    <t>Fluttershy comforts Pinkie Pie after Granny Pie dies.</t>
  </si>
  <si>
    <t>MINI-FIC! Lyra/Bonbon - Watersports - ~900 words (based on a pic)</t>
  </si>
  <si>
    <t>Zecora x Twilight, poetry</t>
  </si>
  <si>
    <t>Anthro; Dash x OC; 1st person</t>
  </si>
  <si>
    <t>3rd Person Celestia x OC</t>
  </si>
  <si>
    <t>Requested.</t>
  </si>
  <si>
    <t>Fluttershy's the oldest and quickly becoming a mare. With Pinkie's help, she's holding off as long as she can!</t>
  </si>
  <si>
    <t>Octavia finds Vinyl backstage wishing to thank her for the exceptional performance, gaining the opportunity to thank her another way...</t>
  </si>
  <si>
    <t>Humanized Applebloom/Big Mac</t>
  </si>
  <si>
    <t>Snails/Big Mac</t>
  </si>
  <si>
    <t>4 ponies and 3 dicks in this sequel to Dicks Everywhere. Silly innuendo just as before.</t>
  </si>
  <si>
    <t>Short 2nd Person Male Human X Braeburn</t>
  </si>
  <si>
    <t>Spike/Fluttershy</t>
  </si>
  <si>
    <t>Human/Twilight Sparkle</t>
  </si>
  <si>
    <t>2nd Person, Forced watersports/scat, torture, futa</t>
  </si>
  <si>
    <t>A rapefic. Pinkie's Amish father rapes young filly Pinkamena.</t>
  </si>
  <si>
    <t>Rapefic. Fluttershy rapes Spike.</t>
  </si>
  <si>
    <t>Fluttershy x Bloomberg</t>
  </si>
  <si>
    <t>FluttershyxRainbowdash in a cave</t>
  </si>
  <si>
    <t>humanized soarin x sweetie belle</t>
  </si>
  <si>
    <t>2nd person humanized, feet, breast inflation</t>
  </si>
  <si>
    <t>VInyl is back in town, and this time she is getting a little more personal with some of the pony crew</t>
  </si>
  <si>
    <t>Lyra / Bon-Bon</t>
  </si>
  <si>
    <t>Fluttershyxparasprites, Rape?</t>
  </si>
  <si>
    <t>Spike was away in Canterlot on business. Sound familiar?</t>
  </si>
  <si>
    <t>Trixie gets drunk, and takes Pokey home.</t>
  </si>
  <si>
    <t>Fluttershy x Big Mac ; Pegging</t>
  </si>
  <si>
    <t>Luna enters Twilight's old room at the castle- And finds more than she expected.</t>
  </si>
  <si>
    <t>filly AJ x colt Big Mac</t>
  </si>
  <si>
    <t>Spike/Big Macintosh</t>
  </si>
  <si>
    <t>Based on the "Ask Pinkamina Diane Pie" Tumblr blog.</t>
  </si>
  <si>
    <t>M/M; Coconut/Lucky; Masturbation; Oral</t>
  </si>
  <si>
    <t>AJ x RD; Big Mac x everypony else</t>
  </si>
  <si>
    <t>Two stallions meet in a coffee shop and decide to get their flirt on.</t>
  </si>
  <si>
    <t>Rape, pony-futa</t>
  </si>
  <si>
    <t>Romantic; takes place in the far future</t>
  </si>
  <si>
    <t>Applejack/Bloomberg</t>
  </si>
  <si>
    <t>BDSM, D/s, F/F, Spank, Toys</t>
  </si>
  <si>
    <t>Incest; Oneshot</t>
  </si>
  <si>
    <t>M/M; Mast</t>
  </si>
  <si>
    <t>1st person Cheerilee</t>
  </si>
  <si>
    <t>Multi-part, Complete, Rutting</t>
  </si>
  <si>
    <t>M/M: Hoity-Toity/Big Macintosh</t>
  </si>
  <si>
    <t>Soarin'/baked goods; Food sex, American Pie; Cherry and Apple Pie</t>
  </si>
  <si>
    <t>F/F; WIP; Voy?; AFFO</t>
  </si>
  <si>
    <t>D/s, F/F, Minor1, Oral, OC</t>
  </si>
  <si>
    <t>Spitfire/Silverstar, Bondage</t>
  </si>
  <si>
    <t>2nd person; Drugs/Date Rape</t>
  </si>
  <si>
    <t>Twilight Sparkle/Trixie/tentacles</t>
  </si>
  <si>
    <t>Rarity/Applejack</t>
  </si>
  <si>
    <t>Caramel+AJ and Mac (so some incest)</t>
  </si>
  <si>
    <t>Human/CMC; Consentual pedofolia</t>
  </si>
  <si>
    <t>Rule 63</t>
  </si>
  <si>
    <t>Bond; m/f f/f; Dom/sub; Oral</t>
  </si>
  <si>
    <t>Lyra/Bon-Bon</t>
  </si>
  <si>
    <t>Prince Blueblood/Little Strongheart</t>
  </si>
  <si>
    <t>Applejack selfcest, foodplay, bondage</t>
  </si>
  <si>
    <t>Dash with Royal Guard</t>
  </si>
  <si>
    <t>4 brony creators?? and Trixie</t>
  </si>
  <si>
    <t>Luna/Twilight; No sex?; Teasing</t>
  </si>
  <si>
    <t>Humans Roleplaying as MLP, Futa, Lyra / Bonbon</t>
  </si>
  <si>
    <t>Angel/Spike, no Buffy, M/M, anal</t>
  </si>
  <si>
    <t>BDSM</t>
  </si>
  <si>
    <t>Fucking everypony...</t>
  </si>
  <si>
    <t>Luna/Celestia</t>
  </si>
  <si>
    <t>Snails/Mrs. Cake</t>
  </si>
  <si>
    <t>Fluttershy/CMC; Preg; Lact?</t>
  </si>
  <si>
    <t>Lyra/Bon-Bon; little Pinkie/Dash</t>
  </si>
  <si>
    <t>Alternate ending to the canon episode 'Party of One' - Rainbow-Pinkie shipping</t>
  </si>
  <si>
    <t>Futa; Rapefic</t>
  </si>
  <si>
    <t>2nd person/Rainbow Dash; in-thread</t>
  </si>
  <si>
    <t>Human/Diamond Tiara/Silver Spoon</t>
  </si>
  <si>
    <t>Applejack/Caramel</t>
  </si>
  <si>
    <t>Rainbow Dash/Scootaloo</t>
  </si>
  <si>
    <t>TF/Rule 63,Bond,Unintentional Rape?</t>
  </si>
  <si>
    <t>Roseluck/Lily Rape/Violence/Torture</t>
  </si>
  <si>
    <t>Violent Gangrape; Zecora/Guards</t>
  </si>
  <si>
    <t>Dash/Soarin'</t>
  </si>
  <si>
    <t>2nd Person; Human/virgin Twilight</t>
  </si>
  <si>
    <t>Rape; Rule 63</t>
  </si>
  <si>
    <t>2nd Person; Dialogue only; Humor</t>
  </si>
  <si>
    <t>Orgy; Futa; Humor</t>
  </si>
  <si>
    <t>Rape/Violence; Pedofolia; WIP</t>
  </si>
  <si>
    <t>Lime</t>
  </si>
  <si>
    <t>Human OC/Scootaloo</t>
  </si>
  <si>
    <t>Trixie/Mayor Mare</t>
  </si>
  <si>
    <t>Princess Celestia has a more personal punishment in mind after RD and Aj mess up The Running of the Leaves; Dub-Con RomCom; PRETEND incest</t>
  </si>
  <si>
    <t>w/ Pinkie PLUS Pinkamina Diane Pie</t>
  </si>
  <si>
    <t>Rule 63 NMM</t>
  </si>
  <si>
    <t>Lime (so far)</t>
  </si>
  <si>
    <t>Rainbow Dash/Rainbow Blitz (G..?)</t>
  </si>
  <si>
    <t>Lime; Twixie; Diamond Dogs</t>
  </si>
  <si>
    <t>Dash/Aloe/Lotus</t>
  </si>
  <si>
    <t>Human; 2nd Person; Scratch/Octavia</t>
  </si>
  <si>
    <t>Twilight/Big Macintosh; Language</t>
  </si>
  <si>
    <t>Human; 2nd Person; Cheerilee</t>
  </si>
  <si>
    <t>Human; Second-person male; Foot?</t>
  </si>
  <si>
    <t>Human seq. Big Mac's Family Dinner</t>
  </si>
  <si>
    <t>AJ/RD Double Dildo</t>
  </si>
  <si>
    <t>2nd Person Human; WW/Scat; Futa</t>
  </si>
  <si>
    <t>2nd Person; WW/FoodScat</t>
  </si>
  <si>
    <t>2nd Person; WW/Scat</t>
  </si>
  <si>
    <t>Incest: Twilight Sparkle/her mother</t>
  </si>
  <si>
    <t>Princesses roleplay TS</t>
  </si>
  <si>
    <t>Lunatosh;sequel to Luna's Sad Party</t>
  </si>
  <si>
    <t>Spa Ponies Aloe and Lotus</t>
  </si>
  <si>
    <t>Slash: Caramel/Pokey Pierce</t>
  </si>
  <si>
    <t>Gilda/Spike, Rape</t>
  </si>
  <si>
    <t>Comic; non-FA alt. links</t>
  </si>
  <si>
    <t>Incest AJ/Mac; FFnet? OMFG!</t>
  </si>
  <si>
    <t>Fluttershy/Spitfire, Rough, Lime</t>
  </si>
  <si>
    <t>HiE; Second-Person</t>
  </si>
  <si>
    <t>Cheerilee/CMC, consentual pedofolia</t>
  </si>
  <si>
    <t>Dash/Little Strongheart; Braeburn; Threesome</t>
  </si>
  <si>
    <t>Scootaloo gets revenge on Diamond Tiara for hurting Apple Bloom's feelings; Non-con</t>
  </si>
  <si>
    <t>Short S&amp;M Lime</t>
  </si>
  <si>
    <t>Lime; Human; Second-Person</t>
  </si>
  <si>
    <t>Human/Lyra; mostly 2nd Person</t>
  </si>
  <si>
    <t>Preg. fetish, Twilight's parents</t>
  </si>
  <si>
    <t>Lime/Softcore</t>
  </si>
  <si>
    <t>Fillyfoolery, S&amp;M</t>
  </si>
  <si>
    <t>gRiM? Actually kind'a cool</t>
  </si>
  <si>
    <t>Human, Lunesta</t>
  </si>
  <si>
    <t>Straight Shota - Mare-on-baby-dragon</t>
  </si>
  <si>
    <t>Epic Tale, RD/younger self</t>
  </si>
  <si>
    <t>Foalophiilia, Horning, Toys, Rimming</t>
  </si>
  <si>
    <t>Lime; DJ Scratch; Human</t>
  </si>
  <si>
    <t>Food play; WS; Scat</t>
  </si>
  <si>
    <t>Lime; Human; Dinky; Second-Person</t>
  </si>
  <si>
    <t>Human; Spa Ponies Lotus and Aloe</t>
  </si>
  <si>
    <t>Human, Second-Person</t>
  </si>
  <si>
    <t>Rarity has designs on Twilight Sparkle, literally and figuratively. How to ease the bookish filly into the world of marely pleasures?</t>
  </si>
  <si>
    <t>Slash; Human; Second-person</t>
  </si>
  <si>
    <t>Mayor Mare; Second-Person</t>
  </si>
  <si>
    <t>Lime; Slash; Human; Second-person</t>
  </si>
  <si>
    <t>Bestiality; Apples and human selves</t>
  </si>
  <si>
    <t>Twixie, Massage</t>
  </si>
  <si>
    <t>pic story</t>
  </si>
  <si>
    <t>Futa, DP</t>
  </si>
  <si>
    <t>Bondage, Toys, Horning, Lyra / Bonbon</t>
  </si>
  <si>
    <t>S&amp;M, WS, Scat</t>
  </si>
  <si>
    <t>Fantasy, Oral</t>
  </si>
  <si>
    <t>Masturbation, 'underage'</t>
  </si>
  <si>
    <t>Mind Control</t>
  </si>
  <si>
    <t>Trans, D.J. Viny Scratch, short</t>
  </si>
  <si>
    <t>Roleplay</t>
  </si>
  <si>
    <t>Lunatosh</t>
  </si>
  <si>
    <t>Little Strongheart/Braeburn</t>
  </si>
  <si>
    <t>A/U, Futa, Rape, Violence</t>
  </si>
  <si>
    <t>Short, Silly; Dick-in-Jane</t>
  </si>
  <si>
    <t>Comic</t>
  </si>
  <si>
    <t>Applejack/Braeburn</t>
  </si>
  <si>
    <t>NonCon 'gentle rape', oral</t>
  </si>
  <si>
    <t>Comic; Futa/DG</t>
  </si>
  <si>
    <t>F/F, NonCon/Rape, Tentacles</t>
  </si>
  <si>
    <t>Toys, Light-Anal play</t>
  </si>
  <si>
    <t>Lime version; Second-Person</t>
  </si>
  <si>
    <t>Lime; second-person</t>
  </si>
  <si>
    <t>Mr. Cake/Pinkie Pie, Happy Sex, Anal</t>
  </si>
  <si>
    <t>Poison Joke, Toys</t>
  </si>
  <si>
    <t>Quarterback/Hairspray; trans</t>
  </si>
  <si>
    <t>Little Strong Heart/Spike</t>
  </si>
  <si>
    <t>Futa</t>
  </si>
  <si>
    <t>Shower Sex</t>
  </si>
  <si>
    <t>Incest; Pedofolia</t>
  </si>
  <si>
    <t>Violence, gelding, Caramel, Grimdark(mild)</t>
  </si>
  <si>
    <t>Horning</t>
  </si>
  <si>
    <t>Hoofing, D/s</t>
  </si>
  <si>
    <t>Exploration</t>
  </si>
  <si>
    <t>Mast.</t>
  </si>
  <si>
    <t>Applejack/Cheerilee, D/s</t>
  </si>
  <si>
    <t>M/M</t>
  </si>
  <si>
    <t>Twilight/Trixie</t>
  </si>
  <si>
    <t>Rarity/Sweetie Belle, Humor</t>
  </si>
  <si>
    <t>Fluttershy/Angel, Anal, Body Insertion</t>
  </si>
  <si>
    <t>humanized; futa</t>
  </si>
  <si>
    <t>WIP</t>
  </si>
  <si>
    <t>Human GilDash</t>
  </si>
  <si>
    <t>Incest</t>
  </si>
  <si>
    <t>Wonderbolts</t>
  </si>
  <si>
    <t>Lime: sensual; DJ-Pon3</t>
  </si>
  <si>
    <t>Masturbation</t>
  </si>
  <si>
    <t>prostitution, incest, pregnancy</t>
  </si>
  <si>
    <t>Cheerilee, racy version too</t>
  </si>
  <si>
    <t>Lime, plus "The Mule"</t>
  </si>
  <si>
    <t>Nightmare Moon and Luna</t>
  </si>
  <si>
    <t>Applejack/Big Macintosh</t>
  </si>
  <si>
    <t>Spa Ponies</t>
  </si>
  <si>
    <t>Trixie/Big Macintosh, Rape</t>
  </si>
  <si>
    <t>Pinkie Pie recounts the day that nearly destroyed Equestria, and maybe a piece of herself too. (violence, death, rape)</t>
  </si>
  <si>
    <t>Mayor Mare</t>
  </si>
  <si>
    <t>Lime/implied, beautiful</t>
  </si>
  <si>
    <t>Humanized Futa</t>
  </si>
  <si>
    <t>Dash is pregnant</t>
  </si>
  <si>
    <t>Big Mac as discrete gigolo</t>
  </si>
  <si>
    <t>Lime; Romance; Pregnancy</t>
  </si>
  <si>
    <t>in-thread, difficult</t>
  </si>
  <si>
    <t>Lime, Unresolved Sexual Tension</t>
  </si>
  <si>
    <t>Pinkie Pie Rarity shipping chubby curvy Pinkie - Humanized</t>
  </si>
  <si>
    <t>Twilight/Pinkie</t>
  </si>
  <si>
    <t>Lime/implied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</si>
</sst>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1" numFmtId="0" xfId="0" applyAlignment="1" applyFont="1">
      <alignment horizontal="center"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textRotation="90"/>
    </xf>
    <xf borderId="0" fillId="0" fontId="2" numFmtId="0" xfId="0" applyAlignment="1" applyFont="1">
      <alignment readingOrder="0" shrinkToFit="0" textRotation="90" wrapText="1"/>
    </xf>
    <xf borderId="0" fillId="0" fontId="3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/>
    </xf>
    <xf quotePrefix="1"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5.0"/>
    <col customWidth="1" min="2" max="7" width="2.75"/>
    <col customWidth="1" min="8" max="8" width="33.75"/>
    <col customWidth="1" min="9" max="9" width="22.38"/>
    <col customWidth="1" min="10" max="30" width="3.25"/>
    <col customWidth="1" min="31" max="31" width="5.25"/>
    <col customWidth="1" min="32" max="32" width="4.88"/>
  </cols>
  <sheetData>
    <row r="1">
      <c r="A1" s="1" t="s">
        <v>0</v>
      </c>
      <c r="B1" s="2" t="s">
        <v>1</v>
      </c>
      <c r="H1" s="1" t="s">
        <v>2</v>
      </c>
      <c r="I1" s="1" t="s">
        <v>3</v>
      </c>
      <c r="J1" s="2" t="s">
        <v>4</v>
      </c>
      <c r="AG1" s="2" t="s">
        <v>5</v>
      </c>
      <c r="AH1" s="2" t="s">
        <v>6</v>
      </c>
    </row>
    <row r="2" ht="86.25" customHeight="1">
      <c r="A2" s="3"/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I2" s="3"/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5" t="s">
        <v>34</v>
      </c>
      <c r="AF2" s="5" t="s">
        <v>35</v>
      </c>
    </row>
    <row r="3">
      <c r="A3" s="6" t="str">
        <f>HYPERLINK("https://archive.ph/o/kCXAs/https://web-beta.archive.org/web/20130315140312/http://clopfic.heroku.com/fics/1118", "In the Chapel")</f>
        <v>In the Chapel</v>
      </c>
      <c r="B3" s="7" t="s">
        <v>36</v>
      </c>
      <c r="D3" s="7" t="s">
        <v>37</v>
      </c>
      <c r="H3" s="8" t="s">
        <v>38</v>
      </c>
      <c r="I3" s="6" t="str">
        <f>HYPERLINK("https://archive.ph/o/kCXAs/https://web-beta.archive.org/web/20130315140312/http://clopfic.heroku.com/authors/1635", "ventercrow")</f>
        <v>ventercrow</v>
      </c>
      <c r="J3" s="7" t="s">
        <v>39</v>
      </c>
      <c r="Z3" s="7" t="s">
        <v>40</v>
      </c>
      <c r="AF3" s="7" t="s">
        <v>41</v>
      </c>
      <c r="AG3" s="9">
        <v>41056.0</v>
      </c>
      <c r="AH3" s="9">
        <v>41193.0</v>
      </c>
    </row>
    <row r="4">
      <c r="A4" s="6" t="str">
        <f>HYPERLINK("https://archive.ph/o/kCXAs/https://web-beta.archive.org/web/20130315140312/http://clopfic.heroku.com/fics/1498", "Growing Up Fast")</f>
        <v>Growing Up Fast</v>
      </c>
      <c r="D4" s="7" t="s">
        <v>37</v>
      </c>
      <c r="H4" s="8" t="s">
        <v>42</v>
      </c>
      <c r="I4" s="6" t="str">
        <f>HYPERLINK("https://archive.ph/o/kCXAs/https://web-beta.archive.org/web/20130315140312/http://clopfic.heroku.com/authors/675", "darf")</f>
        <v>darf</v>
      </c>
      <c r="AE4" s="7" t="s">
        <v>43</v>
      </c>
      <c r="AG4" s="9">
        <v>41193.0</v>
      </c>
      <c r="AH4" s="9">
        <v>41193.0</v>
      </c>
    </row>
    <row r="5">
      <c r="A5" s="6" t="str">
        <f>HYPERLINK("https://archive.ph/o/kCXAs/https://web-beta.archive.org/web/20130315140312/http://clopfic.heroku.com/fics/1497", "Love Means Giving")</f>
        <v>Love Means Giving</v>
      </c>
      <c r="E5" s="7" t="s">
        <v>44</v>
      </c>
      <c r="H5" s="8" t="s">
        <v>45</v>
      </c>
      <c r="I5" s="6" t="str">
        <f>HYPERLINK("https://archive.ph/o/kCXAs/https://web-beta.archive.org/web/20130315140312/http://clopfic.heroku.com/authors/1637", "Ship Shipping Inc")</f>
        <v>Ship Shipping Inc</v>
      </c>
      <c r="Z5" s="7" t="s">
        <v>40</v>
      </c>
      <c r="AF5" s="7" t="s">
        <v>41</v>
      </c>
      <c r="AG5" s="9">
        <v>41192.0</v>
      </c>
      <c r="AH5" s="9">
        <v>41192.0</v>
      </c>
    </row>
    <row r="6">
      <c r="A6" s="6" t="str">
        <f>HYPERLINK("https://archive.ph/o/kCXAs/https://web-beta.archive.org/web/20130315140312/http://clopfic.heroku.com/fics/1496", "Rarity's Raspberries")</f>
        <v>Rarity's Raspberries</v>
      </c>
      <c r="B6" s="7" t="s">
        <v>36</v>
      </c>
      <c r="D6" s="7" t="s">
        <v>37</v>
      </c>
      <c r="H6" s="8" t="s">
        <v>46</v>
      </c>
      <c r="I6" s="6" t="str">
        <f>HYPERLINK("https://archive.ph/o/kCXAs/https://web-beta.archive.org/web/20130315140312/http://clopfic.heroku.com/authors/608", "SwiperTheFox")</f>
        <v>SwiperTheFox</v>
      </c>
      <c r="N6" s="7" t="s">
        <v>47</v>
      </c>
      <c r="Z6" s="7" t="s">
        <v>40</v>
      </c>
      <c r="AF6" s="7" t="s">
        <v>41</v>
      </c>
      <c r="AG6" s="9">
        <v>41192.0</v>
      </c>
      <c r="AH6" s="9">
        <v>41192.0</v>
      </c>
    </row>
    <row r="7">
      <c r="A7" s="6" t="str">
        <f>HYPERLINK("https://archive.ph/o/kCXAs/https://web-beta.archive.org/web/20130315140312/http://clopfic.heroku.com/fics/1495", "The Pink-Furred Prostitute")</f>
        <v>The Pink-Furred Prostitute</v>
      </c>
      <c r="H7" s="8" t="s">
        <v>48</v>
      </c>
      <c r="I7" s="6" t="str">
        <f>HYPERLINK("https://archive.ph/o/kCXAs/https://web-beta.archive.org/web/20130315140312/http://clopfic.heroku.com/authors/1636", "Alpha Pinkie")</f>
        <v>Alpha Pinkie</v>
      </c>
      <c r="K7" s="7" t="s">
        <v>49</v>
      </c>
      <c r="Z7" s="7" t="s">
        <v>40</v>
      </c>
      <c r="AF7" s="7" t="s">
        <v>41</v>
      </c>
      <c r="AG7" s="9">
        <v>41192.0</v>
      </c>
      <c r="AH7" s="9">
        <v>41192.0</v>
      </c>
    </row>
    <row r="8">
      <c r="A8" s="6" t="str">
        <f>HYPERLINK("https://archive.ph/o/kCXAs/https://web-beta.archive.org/web/20130315140312/http://clopfic.heroku.com/fics/979", "Ribbons and Lace")</f>
        <v>Ribbons and Lace</v>
      </c>
      <c r="E8" s="7" t="s">
        <v>44</v>
      </c>
      <c r="H8" s="8" t="s">
        <v>50</v>
      </c>
      <c r="I8" s="6" t="str">
        <f>HYPERLINK("https://archive.ph/o/kCXAs/https://web-beta.archive.org/web/20130315140312/http://clopfic.heroku.com/authors/659", "Jot Jiggety Jog")</f>
        <v>Jot Jiggety Jog</v>
      </c>
      <c r="N8" s="7" t="s">
        <v>47</v>
      </c>
      <c r="O8" s="7" t="s">
        <v>51</v>
      </c>
      <c r="AG8" s="9">
        <v>41014.0</v>
      </c>
      <c r="AH8" s="9">
        <v>41192.0</v>
      </c>
    </row>
    <row r="9">
      <c r="A9" s="6" t="str">
        <f>HYPERLINK("https://archive.ph/o/kCXAs/https://web-beta.archive.org/web/20130315140312/http://clopfic.heroku.com/fics/1392", "Élégie, Op. 24")</f>
        <v>Élégie, Op. 24</v>
      </c>
      <c r="B9" s="7" t="s">
        <v>36</v>
      </c>
      <c r="D9" s="7" t="s">
        <v>37</v>
      </c>
      <c r="E9" s="7" t="s">
        <v>44</v>
      </c>
      <c r="F9" s="7" t="s">
        <v>52</v>
      </c>
      <c r="H9" s="8" t="s">
        <v>53</v>
      </c>
      <c r="I9" s="6" t="str">
        <f>HYPERLINK("https://archive.ph/o/kCXAs/https://web-beta.archive.org/web/20130315140312/http://clopfic.heroku.com/authors/1384", "Togashi")</f>
        <v>Togashi</v>
      </c>
      <c r="Z9" s="7" t="s">
        <v>40</v>
      </c>
      <c r="AE9" s="7" t="s">
        <v>43</v>
      </c>
      <c r="AG9" s="9">
        <v>41147.0</v>
      </c>
      <c r="AH9" s="9">
        <v>41192.0</v>
      </c>
    </row>
    <row r="10">
      <c r="A10" s="6" t="str">
        <f>HYPERLINK("https://archive.ph/o/kCXAs/https://web-beta.archive.org/web/20130315140312/http://clopfic.heroku.com/fics/911", "Xenophilia")</f>
        <v>Xenophilia</v>
      </c>
      <c r="C10" s="7" t="s">
        <v>54</v>
      </c>
      <c r="E10" s="7" t="s">
        <v>44</v>
      </c>
      <c r="F10" s="7" t="s">
        <v>52</v>
      </c>
      <c r="H10" s="8" t="s">
        <v>55</v>
      </c>
      <c r="I10" s="6" t="str">
        <f>HYPERLINK("https://archive.ph/o/kCXAs/https://web-beta.archive.org/web/20130315140312/http://clopfic.heroku.com/authors/1210", "AnonAuthor")</f>
        <v>AnonAuthor</v>
      </c>
      <c r="J10" s="7" t="s">
        <v>39</v>
      </c>
      <c r="M10" s="7" t="s">
        <v>56</v>
      </c>
      <c r="Z10" s="7" t="s">
        <v>40</v>
      </c>
      <c r="AF10" s="7" t="s">
        <v>41</v>
      </c>
      <c r="AG10" s="9">
        <v>40996.0</v>
      </c>
      <c r="AH10" s="9">
        <v>41191.0</v>
      </c>
    </row>
    <row r="11">
      <c r="A11" s="6" t="str">
        <f>HYPERLINK("https://archive.ph/o/kCXAs/https://web-beta.archive.org/web/20130315140312/http://clopfic.heroku.com/fics/1494", "Vibrato")</f>
        <v>Vibrato</v>
      </c>
      <c r="E11" s="7" t="s">
        <v>44</v>
      </c>
      <c r="H11" s="8" t="s">
        <v>57</v>
      </c>
      <c r="I11" s="6" t="str">
        <f>HYPERLINK("https://archive.ph/o/kCXAs/https://web-beta.archive.org/web/20130315140312/http://clopfic.heroku.com/authors/1634", "JadeMeteor")</f>
        <v>JadeMeteor</v>
      </c>
      <c r="Z11" s="7" t="s">
        <v>40</v>
      </c>
      <c r="AE11" s="7" t="s">
        <v>43</v>
      </c>
      <c r="AG11" s="9">
        <v>41191.0</v>
      </c>
      <c r="AH11" s="9">
        <v>41191.0</v>
      </c>
    </row>
    <row r="12">
      <c r="A12" s="6" t="str">
        <f>HYPERLINK("https://archive.ph/o/kCXAs/https://web-beta.archive.org/web/20130315140312/http://clopfic.heroku.com/fics/1493", "Scootaloo Doesn't Suck")</f>
        <v>Scootaloo Doesn't Suck</v>
      </c>
      <c r="D12" s="7" t="s">
        <v>37</v>
      </c>
      <c r="H12" s="8" t="s">
        <v>58</v>
      </c>
      <c r="I12" s="6" t="str">
        <f>HYPERLINK("https://archive.ph/o/kCXAs/https://web-beta.archive.org/web/20130315140312/http://clopfic.heroku.com/authors/185", "ZeroJanitor")</f>
        <v>ZeroJanitor</v>
      </c>
      <c r="T12" s="7" t="s">
        <v>59</v>
      </c>
      <c r="U12" s="7" t="s">
        <v>60</v>
      </c>
      <c r="AG12" s="9">
        <v>41191.0</v>
      </c>
      <c r="AH12" s="9">
        <v>41191.0</v>
      </c>
    </row>
    <row r="13">
      <c r="A13" s="6" t="str">
        <f>HYPERLINK("https://archive.ph/o/kCXAs/https://web-beta.archive.org/web/20130315140312/http://clopfic.heroku.com/fics/938", "Breeding: The Dark Under belly of Equestria ")</f>
        <v>Breeding: The Dark Under belly of Equestria </v>
      </c>
      <c r="B13" s="7" t="s">
        <v>36</v>
      </c>
      <c r="D13" s="7" t="s">
        <v>37</v>
      </c>
      <c r="E13" s="7" t="s">
        <v>44</v>
      </c>
      <c r="F13" s="7" t="s">
        <v>52</v>
      </c>
      <c r="H13" s="8" t="s">
        <v>61</v>
      </c>
      <c r="I13" s="6" t="str">
        <f>HYPERLINK("https://archive.ph/o/kCXAs/https://web-beta.archive.org/web/20130315140312/http://clopfic.heroku.com/authors/679", "TheStallion")</f>
        <v>TheStallion</v>
      </c>
      <c r="J13" s="7" t="s">
        <v>39</v>
      </c>
      <c r="K13" s="7" t="s">
        <v>49</v>
      </c>
      <c r="L13" s="7" t="s">
        <v>62</v>
      </c>
      <c r="M13" s="7" t="s">
        <v>56</v>
      </c>
      <c r="N13" s="7" t="s">
        <v>47</v>
      </c>
      <c r="O13" s="7" t="s">
        <v>51</v>
      </c>
      <c r="Z13" s="7" t="s">
        <v>40</v>
      </c>
      <c r="AF13" s="7" t="s">
        <v>41</v>
      </c>
      <c r="AG13" s="9">
        <v>41004.0</v>
      </c>
      <c r="AH13" s="9">
        <v>41191.0</v>
      </c>
    </row>
    <row r="14">
      <c r="A14" s="6" t="str">
        <f>HYPERLINK("https://archive.ph/o/kCXAs/https://web-beta.archive.org/web/20130315140312/http://clopfic.heroku.com/fics/976", "The Tails of Spike's Harem")</f>
        <v>The Tails of Spike's Harem</v>
      </c>
      <c r="E14" s="7" t="s">
        <v>44</v>
      </c>
      <c r="F14" s="7" t="s">
        <v>52</v>
      </c>
      <c r="H14" s="8" t="s">
        <v>63</v>
      </c>
      <c r="I14" s="6" t="str">
        <f>HYPERLINK("https://archive.ph/o/kCXAs/https://web-beta.archive.org/web/20130315140312/http://clopfic.heroku.com/authors/703", "Beirirangu")</f>
        <v>Beirirangu</v>
      </c>
      <c r="J14" s="7" t="s">
        <v>39</v>
      </c>
      <c r="N14" s="7" t="s">
        <v>47</v>
      </c>
      <c r="O14" s="7" t="s">
        <v>51</v>
      </c>
      <c r="P14" s="7" t="s">
        <v>64</v>
      </c>
      <c r="Q14" s="7" t="s">
        <v>65</v>
      </c>
      <c r="R14" s="7" t="s">
        <v>66</v>
      </c>
      <c r="AG14" s="9">
        <v>41013.0</v>
      </c>
      <c r="AH14" s="9">
        <v>41191.0</v>
      </c>
    </row>
    <row r="15">
      <c r="A15" s="6" t="str">
        <f>HYPERLINK("https://archive.ph/o/kCXAs/https://web-beta.archive.org/web/20130315140312/http://clopfic.heroku.com/fics/933", "Twilust")</f>
        <v>Twilust</v>
      </c>
      <c r="E15" s="7" t="s">
        <v>44</v>
      </c>
      <c r="F15" s="7" t="s">
        <v>52</v>
      </c>
      <c r="H15" s="8" t="s">
        <v>67</v>
      </c>
      <c r="I15" s="6" t="str">
        <f>HYPERLINK("https://archive.ph/o/kCXAs/https://web-beta.archive.org/web/20130315140312/http://clopfic.heroku.com/authors/71", "StreakTheFox")</f>
        <v>StreakTheFox</v>
      </c>
      <c r="J15" s="7" t="s">
        <v>39</v>
      </c>
      <c r="K15" s="7" t="s">
        <v>49</v>
      </c>
      <c r="L15" s="7" t="s">
        <v>62</v>
      </c>
      <c r="M15" s="7" t="s">
        <v>56</v>
      </c>
      <c r="N15" s="7" t="s">
        <v>47</v>
      </c>
      <c r="O15" s="7" t="s">
        <v>51</v>
      </c>
      <c r="P15" s="7" t="s">
        <v>64</v>
      </c>
      <c r="Q15" s="7" t="s">
        <v>65</v>
      </c>
      <c r="R15" s="7" t="s">
        <v>66</v>
      </c>
      <c r="S15" s="7" t="s">
        <v>68</v>
      </c>
      <c r="T15" s="7" t="s">
        <v>59</v>
      </c>
      <c r="U15" s="7" t="s">
        <v>60</v>
      </c>
      <c r="W15" s="7" t="s">
        <v>69</v>
      </c>
      <c r="AG15" s="9">
        <v>41003.0</v>
      </c>
      <c r="AH15" s="9">
        <v>41191.0</v>
      </c>
    </row>
    <row r="16">
      <c r="A16" s="6" t="str">
        <f>HYPERLINK("https://archive.ph/o/kCXAs/https://web-beta.archive.org/web/20130315140312/http://clopfic.heroku.com/fics/894", "The Real Adventures Of PonyVille")</f>
        <v>The Real Adventures Of PonyVille</v>
      </c>
      <c r="B16" s="7" t="s">
        <v>36</v>
      </c>
      <c r="D16" s="7" t="s">
        <v>37</v>
      </c>
      <c r="E16" s="7" t="s">
        <v>44</v>
      </c>
      <c r="F16" s="7" t="s">
        <v>52</v>
      </c>
      <c r="H16" s="8" t="s">
        <v>70</v>
      </c>
      <c r="I16" s="6" t="str">
        <f>HYPERLINK("https://archive.ph/o/kCXAs/https://web-beta.archive.org/web/20130315140312/http://clopfic.heroku.com/authors/646", "ImmaSpikez")</f>
        <v>ImmaSpikez</v>
      </c>
      <c r="J16" s="7" t="s">
        <v>39</v>
      </c>
      <c r="K16" s="7" t="s">
        <v>49</v>
      </c>
      <c r="L16" s="7" t="s">
        <v>62</v>
      </c>
      <c r="M16" s="7" t="s">
        <v>56</v>
      </c>
      <c r="N16" s="7" t="s">
        <v>47</v>
      </c>
      <c r="O16" s="7" t="s">
        <v>51</v>
      </c>
      <c r="P16" s="7" t="s">
        <v>64</v>
      </c>
      <c r="Q16" s="7" t="s">
        <v>65</v>
      </c>
      <c r="R16" s="7" t="s">
        <v>66</v>
      </c>
      <c r="S16" s="7" t="s">
        <v>68</v>
      </c>
      <c r="T16" s="7" t="s">
        <v>59</v>
      </c>
      <c r="U16" s="7" t="s">
        <v>60</v>
      </c>
      <c r="V16" s="7" t="s">
        <v>71</v>
      </c>
      <c r="Z16" s="7" t="s">
        <v>40</v>
      </c>
      <c r="AE16" s="7" t="s">
        <v>43</v>
      </c>
      <c r="AF16" s="7" t="s">
        <v>41</v>
      </c>
      <c r="AG16" s="9">
        <v>40986.0</v>
      </c>
      <c r="AH16" s="9">
        <v>41191.0</v>
      </c>
    </row>
    <row r="17">
      <c r="A17" s="6" t="str">
        <f>HYPERLINK("https://archive.ph/o/kCXAs/https://web-beta.archive.org/web/20130315140312/http://clopfic.heroku.com/fics/887", "The Seven Spikes")</f>
        <v>The Seven Spikes</v>
      </c>
      <c r="F17" s="7" t="s">
        <v>52</v>
      </c>
      <c r="H17" s="8" t="s">
        <v>72</v>
      </c>
      <c r="I17" s="6" t="str">
        <f>HYPERLINK("https://archive.ph/o/kCXAs/https://web-beta.archive.org/web/20130315140312/http://clopfic.heroku.com/authors/644", "Starkie")</f>
        <v>Starkie</v>
      </c>
      <c r="J17" s="7" t="s">
        <v>39</v>
      </c>
      <c r="M17" s="7" t="s">
        <v>56</v>
      </c>
      <c r="R17" s="7" t="s">
        <v>66</v>
      </c>
      <c r="AG17" s="9">
        <v>40984.0</v>
      </c>
      <c r="AH17" s="9">
        <v>41191.0</v>
      </c>
    </row>
    <row r="18">
      <c r="A18" s="6" t="str">
        <f>HYPERLINK("https://archive.ph/o/kCXAs/https://web-beta.archive.org/web/20130315140312/http://clopfic.heroku.com/fics/740", "With Friends Like These...")</f>
        <v>With Friends Like These...</v>
      </c>
      <c r="E18" s="7" t="s">
        <v>44</v>
      </c>
      <c r="H18" s="8" t="s">
        <v>73</v>
      </c>
      <c r="I18" s="6" t="str">
        <f>HYPERLINK("https://archive.ph/o/kCXAs/https://web-beta.archive.org/web/20130315140312/http://clopfic.heroku.com/authors/1633", "Turtle Roadkill")</f>
        <v>Turtle Roadkill</v>
      </c>
      <c r="Z18" s="7" t="s">
        <v>40</v>
      </c>
      <c r="AF18" s="7" t="s">
        <v>41</v>
      </c>
      <c r="AG18" s="9">
        <v>40929.0</v>
      </c>
      <c r="AH18" s="9">
        <v>41191.0</v>
      </c>
    </row>
    <row r="19">
      <c r="A19" s="6" t="str">
        <f>HYPERLINK("https://archive.ph/o/kCXAs/https://web-beta.archive.org/web/20130315140312/http://clopfic.heroku.com/fics/736", "Lonely Luna")</f>
        <v>Lonely Luna</v>
      </c>
      <c r="E19" s="7" t="s">
        <v>44</v>
      </c>
      <c r="F19" s="7" t="s">
        <v>52</v>
      </c>
      <c r="H19" s="8" t="s">
        <v>74</v>
      </c>
      <c r="I19" s="6" t="str">
        <f>HYPERLINK("https://archive.ph/o/kCXAs/https://web-beta.archive.org/web/20130315140312/http://clopfic.heroku.com/authors/581", "UnintentionalFan")</f>
        <v>UnintentionalFan</v>
      </c>
      <c r="M19" s="7" t="s">
        <v>56</v>
      </c>
      <c r="Q19" s="7" t="s">
        <v>65</v>
      </c>
      <c r="Z19" s="7" t="s">
        <v>40</v>
      </c>
      <c r="AE19" s="7" t="s">
        <v>43</v>
      </c>
      <c r="AG19" s="9">
        <v>40927.0</v>
      </c>
      <c r="AH19" s="9">
        <v>41191.0</v>
      </c>
    </row>
    <row r="20">
      <c r="A20" s="6" t="str">
        <f>HYPERLINK("https://archive.ph/o/kCXAs/https://web-beta.archive.org/web/20130315140312/http://clopfic.heroku.com/fics/676", "Secret of Mah Success (Apple Bloom's Secret)")</f>
        <v>Secret of Mah Success (Apple Bloom's Secret)</v>
      </c>
      <c r="G20" s="7" t="s">
        <v>75</v>
      </c>
      <c r="H20" s="8" t="s">
        <v>76</v>
      </c>
      <c r="I20" s="6" t="str">
        <f>HYPERLINK("https://archive.ph/o/kCXAs/https://web-beta.archive.org/web/20130315140312/http://clopfic.heroku.com/authors/88", "Deathsia")</f>
        <v>Deathsia</v>
      </c>
      <c r="R20" s="7" t="s">
        <v>66</v>
      </c>
      <c r="S20" s="7" t="s">
        <v>68</v>
      </c>
      <c r="T20" s="7" t="s">
        <v>59</v>
      </c>
      <c r="U20" s="7" t="s">
        <v>60</v>
      </c>
      <c r="AG20" s="9">
        <v>40911.0</v>
      </c>
      <c r="AH20" s="9">
        <v>41191.0</v>
      </c>
    </row>
    <row r="21">
      <c r="A21" s="6" t="str">
        <f>HYPERLINK("https://archive.ph/o/kCXAs/https://web-beta.archive.org/web/20130315140312/http://clopfic.heroku.com/fics/541", "Midnight Oil")</f>
        <v>Midnight Oil</v>
      </c>
      <c r="F21" s="7" t="s">
        <v>52</v>
      </c>
      <c r="H21" s="8" t="s">
        <v>77</v>
      </c>
      <c r="I21" s="6" t="str">
        <f>HYPERLINK("https://archive.ph/o/kCXAs/https://web-beta.archive.org/web/20130315140312/http://clopfic.heroku.com/authors/67", "Tozac")</f>
        <v>Tozac</v>
      </c>
      <c r="J21" s="7" t="s">
        <v>39</v>
      </c>
      <c r="R21" s="7" t="s">
        <v>66</v>
      </c>
      <c r="AG21" s="9">
        <v>40842.0</v>
      </c>
      <c r="AH21" s="9">
        <v>41191.0</v>
      </c>
    </row>
    <row r="22">
      <c r="A22" s="6" t="str">
        <f>HYPERLINK("https://archive.ph/o/kCXAs/https://web-beta.archive.org/web/20130315140312/http://clopfic.heroku.com/fics/296", "Trixie's Minions")</f>
        <v>Trixie's Minions</v>
      </c>
      <c r="D22" s="7" t="s">
        <v>37</v>
      </c>
      <c r="F22" s="7" t="s">
        <v>52</v>
      </c>
      <c r="H22" s="8" t="s">
        <v>78</v>
      </c>
      <c r="I22" s="6" t="str">
        <f>HYPERLINK("https://archive.ph/o/kCXAs/https://web-beta.archive.org/web/20130315140312/http://clopfic.heroku.com/authors/102", "Wolf Nanaki")</f>
        <v>Wolf Nanaki</v>
      </c>
      <c r="J22" s="7" t="s">
        <v>39</v>
      </c>
      <c r="W22" s="7" t="s">
        <v>69</v>
      </c>
      <c r="AG22" s="9">
        <v>40711.0</v>
      </c>
      <c r="AH22" s="9">
        <v>41191.0</v>
      </c>
    </row>
    <row r="23">
      <c r="A23" s="6" t="str">
        <f>HYPERLINK("https://archive.ph/o/kCXAs/https://web-beta.archive.org/web/20130315140312/http://clopfic.heroku.com/fics/241", "Long Day's Night, A Ch. 8 added")</f>
        <v>Long Day's Night, A Ch. 8 added</v>
      </c>
      <c r="D23" s="7" t="s">
        <v>37</v>
      </c>
      <c r="F23" s="7" t="s">
        <v>52</v>
      </c>
      <c r="H23" s="8" t="s">
        <v>79</v>
      </c>
      <c r="I23" s="6" t="str">
        <f>HYPERLINK("https://archive.ph/o/kCXAs/https://web-beta.archive.org/web/20130315140312/http://clopfic.heroku.com/authors/77", "Sugar Plum")</f>
        <v>Sugar Plum</v>
      </c>
      <c r="L23" s="7" t="s">
        <v>62</v>
      </c>
      <c r="V23" s="7" t="s">
        <v>71</v>
      </c>
      <c r="AG23" s="9">
        <v>40757.0</v>
      </c>
      <c r="AH23" s="9">
        <v>41191.0</v>
      </c>
    </row>
    <row r="24">
      <c r="A24" s="6" t="str">
        <f>HYPERLINK("https://archive.ph/o/kCXAs/https://web-beta.archive.org/web/20130315140312/http://clopfic.heroku.com/fics/233", "Moon Dancers, The")</f>
        <v>Moon Dancers, The</v>
      </c>
      <c r="E24" s="7" t="s">
        <v>44</v>
      </c>
      <c r="F24" s="7" t="s">
        <v>52</v>
      </c>
      <c r="H24" s="8" t="s">
        <v>80</v>
      </c>
      <c r="I24" s="6" t="str">
        <f>HYPERLINK("https://archive.ph/o/kCXAs/https://web-beta.archive.org/web/20130315140312/http://clopfic.heroku.com/authors/72", "Arcane Anonymity")</f>
        <v>Arcane Anonymity</v>
      </c>
      <c r="Q24" s="7" t="s">
        <v>65</v>
      </c>
      <c r="Z24" s="7" t="s">
        <v>40</v>
      </c>
      <c r="AF24" s="7" t="s">
        <v>41</v>
      </c>
      <c r="AG24" s="9">
        <v>40763.0</v>
      </c>
      <c r="AH24" s="9">
        <v>41191.0</v>
      </c>
    </row>
    <row r="25">
      <c r="A25" s="6" t="str">
        <f>HYPERLINK("https://archive.ph/o/kCXAs/https://web-beta.archive.org/web/20130315140312/http://clopfic.heroku.com/fics/1492", "A Dash of Berry Punch")</f>
        <v>A Dash of Berry Punch</v>
      </c>
      <c r="D25" s="7" t="s">
        <v>37</v>
      </c>
      <c r="E25" s="7" t="s">
        <v>44</v>
      </c>
      <c r="H25" s="8" t="s">
        <v>81</v>
      </c>
      <c r="I25" s="6" t="str">
        <f>HYPERLINK("https://archive.ph/o/kCXAs/https://web-beta.archive.org/web/20130315140312/http://clopfic.heroku.com/authors/1505", "Dark Chiami")</f>
        <v>Dark Chiami</v>
      </c>
      <c r="AF25" s="7" t="s">
        <v>41</v>
      </c>
      <c r="AG25" s="9">
        <v>41191.0</v>
      </c>
      <c r="AH25" s="9">
        <v>41191.0</v>
      </c>
    </row>
    <row r="26">
      <c r="A26" s="6" t="str">
        <f>HYPERLINK("https://archive.ph/o/kCXAs/https://web-beta.archive.org/web/20130315140312/http://clopfic.heroku.com/fics/1173", "The Manor in the Woods")</f>
        <v>The Manor in the Woods</v>
      </c>
      <c r="B26" s="7" t="s">
        <v>36</v>
      </c>
      <c r="D26" s="7" t="s">
        <v>37</v>
      </c>
      <c r="F26" s="7" t="s">
        <v>52</v>
      </c>
      <c r="H26" s="8" t="s">
        <v>82</v>
      </c>
      <c r="I26" s="6" t="str">
        <f>HYPERLINK("https://archive.ph/o/kCXAs/https://web-beta.archive.org/web/20130315140312/http://clopfic.heroku.com/authors/1155", "DSM4")</f>
        <v>DSM4</v>
      </c>
      <c r="N26" s="7" t="s">
        <v>47</v>
      </c>
      <c r="Z26" s="7" t="s">
        <v>40</v>
      </c>
      <c r="AF26" s="7" t="s">
        <v>41</v>
      </c>
      <c r="AG26" s="9">
        <v>41071.0</v>
      </c>
      <c r="AH26" s="9">
        <v>41191.0</v>
      </c>
    </row>
    <row r="27">
      <c r="A27" s="6" t="str">
        <f>HYPERLINK("https://archive.ph/o/kCXAs/https://web-beta.archive.org/web/20130315140312/http://clopfic.heroku.com/fics/1491", "Party Like a Pegasus")</f>
        <v>Party Like a Pegasus</v>
      </c>
      <c r="E27" s="7" t="s">
        <v>44</v>
      </c>
      <c r="H27" s="8" t="s">
        <v>83</v>
      </c>
      <c r="I27" s="6" t="str">
        <f>HYPERLINK("https://archive.ph/o/kCXAs/https://web-beta.archive.org/web/20130315140312/http://clopfic.heroku.com/authors/553", "ImJustAnotherBrony")</f>
        <v>ImJustAnotherBrony</v>
      </c>
      <c r="M27" s="7" t="s">
        <v>56</v>
      </c>
      <c r="T27" s="7" t="s">
        <v>59</v>
      </c>
      <c r="AG27" s="9">
        <v>41191.0</v>
      </c>
      <c r="AH27" s="9">
        <v>41191.0</v>
      </c>
    </row>
    <row r="28">
      <c r="A28" s="6" t="str">
        <f>HYPERLINK("https://archive.ph/o/kCXAs/https://web-beta.archive.org/web/20130315140312/http://clopfic.heroku.com/fics/1277", "Twisted: Four Little Foals")</f>
        <v>Twisted: Four Little Foals</v>
      </c>
      <c r="B28" s="7" t="s">
        <v>36</v>
      </c>
      <c r="D28" s="7" t="s">
        <v>37</v>
      </c>
      <c r="H28" s="8" t="s">
        <v>84</v>
      </c>
      <c r="I28" s="6" t="str">
        <f>HYPERLINK("https://archive.ph/o/kCXAs/https://web-beta.archive.org/web/20130315140312/http://clopfic.heroku.com/authors/1101", "HamGravy")</f>
        <v>HamGravy</v>
      </c>
      <c r="N28" s="7" t="s">
        <v>47</v>
      </c>
      <c r="U28" s="7" t="s">
        <v>60</v>
      </c>
      <c r="Z28" s="7" t="s">
        <v>40</v>
      </c>
      <c r="AE28" s="7" t="s">
        <v>43</v>
      </c>
      <c r="AG28" s="9">
        <v>41109.0</v>
      </c>
      <c r="AH28" s="9">
        <v>41190.0</v>
      </c>
    </row>
    <row r="29">
      <c r="A29" s="6" t="str">
        <f>HYPERLINK("https://archive.ph/o/kCXAs/https://web-beta.archive.org/web/20130315140312/http://clopfic.heroku.com/fics/1291", "Return to Sender")</f>
        <v>Return to Sender</v>
      </c>
      <c r="C29" s="7" t="s">
        <v>54</v>
      </c>
      <c r="E29" s="7" t="s">
        <v>44</v>
      </c>
      <c r="F29" s="7" t="s">
        <v>52</v>
      </c>
      <c r="G29" s="7" t="s">
        <v>75</v>
      </c>
      <c r="H29" s="8" t="s">
        <v>85</v>
      </c>
      <c r="I29" s="6" t="str">
        <f>HYPERLINK("https://archive.ph/o/kCXAs/https://web-beta.archive.org/web/20130315140312/http://clopfic.heroku.com/authors/1587", "Verdict")</f>
        <v>Verdict</v>
      </c>
      <c r="J29" s="7" t="s">
        <v>39</v>
      </c>
      <c r="K29" s="7" t="s">
        <v>49</v>
      </c>
      <c r="L29" s="7" t="s">
        <v>62</v>
      </c>
      <c r="M29" s="7" t="s">
        <v>56</v>
      </c>
      <c r="N29" s="7" t="s">
        <v>47</v>
      </c>
      <c r="O29" s="7" t="s">
        <v>51</v>
      </c>
      <c r="P29" s="7" t="s">
        <v>64</v>
      </c>
      <c r="Q29" s="7" t="s">
        <v>65</v>
      </c>
      <c r="Z29" s="7" t="s">
        <v>40</v>
      </c>
      <c r="AF29" s="7" t="s">
        <v>41</v>
      </c>
      <c r="AG29" s="9">
        <v>41114.0</v>
      </c>
      <c r="AH29" s="9">
        <v>41190.0</v>
      </c>
    </row>
    <row r="30">
      <c r="A30" s="6" t="str">
        <f>HYPERLINK("https://archive.ph/o/kCXAs/https://web-beta.archive.org/web/20130315140312/http://clopfic.heroku.com/fics/1489", "/r/clopclop Clop Scene Requests")</f>
        <v>/r/clopclop Clop Scene Requests</v>
      </c>
      <c r="D30" s="7" t="s">
        <v>37</v>
      </c>
      <c r="H30" s="8" t="s">
        <v>86</v>
      </c>
      <c r="I30" s="6" t="str">
        <f>HYPERLINK("https://archive.ph/o/kCXAs/https://web-beta.archive.org/web/20130315140312/http://clopfic.heroku.com/authors/235", "Nostalgia Schmaltz")</f>
        <v>Nostalgia Schmaltz</v>
      </c>
      <c r="J30" s="7" t="s">
        <v>39</v>
      </c>
      <c r="M30" s="7" t="s">
        <v>56</v>
      </c>
      <c r="N30" s="7" t="s">
        <v>47</v>
      </c>
      <c r="V30" s="7" t="s">
        <v>71</v>
      </c>
      <c r="Z30" s="7" t="s">
        <v>40</v>
      </c>
      <c r="AE30" s="7" t="s">
        <v>43</v>
      </c>
      <c r="AG30" s="9">
        <v>41190.0</v>
      </c>
      <c r="AH30" s="9">
        <v>41190.0</v>
      </c>
    </row>
    <row r="31">
      <c r="A31" s="6" t="str">
        <f>HYPERLINK("https://archive.ph/o/kCXAs/https://web-beta.archive.org/web/20130315140312/http://clopfic.heroku.com/fics/1488", "Most Wonderful of Nights")</f>
        <v>Most Wonderful of Nights</v>
      </c>
      <c r="B31" s="7" t="s">
        <v>36</v>
      </c>
      <c r="D31" s="7" t="s">
        <v>37</v>
      </c>
      <c r="H31" s="8" t="s">
        <v>87</v>
      </c>
      <c r="I31" s="6" t="str">
        <f t="shared" ref="I31:I32" si="1">HYPERLINK("https://archive.ph/o/kCXAs/https://web-beta.archive.org/web/20130315140312/http://clopfic.heroku.com/authors/1384", "Togashi")</f>
        <v>Togashi</v>
      </c>
      <c r="Q31" s="7" t="s">
        <v>65</v>
      </c>
      <c r="Z31" s="7" t="s">
        <v>40</v>
      </c>
      <c r="AE31" s="7" t="s">
        <v>43</v>
      </c>
      <c r="AG31" s="9">
        <v>41190.0</v>
      </c>
      <c r="AH31" s="9">
        <v>41190.0</v>
      </c>
    </row>
    <row r="32">
      <c r="A32" s="6" t="str">
        <f>HYPERLINK("https://archive.ph/o/kCXAs/https://web-beta.archive.org/web/20130315140312/http://clopfic.heroku.com/fics/1487", "Futajack")</f>
        <v>Futajack</v>
      </c>
      <c r="B32" s="7" t="s">
        <v>36</v>
      </c>
      <c r="D32" s="7" t="s">
        <v>37</v>
      </c>
      <c r="H32" s="8" t="s">
        <v>88</v>
      </c>
      <c r="I32" s="6" t="str">
        <f t="shared" si="1"/>
        <v>Togashi</v>
      </c>
      <c r="L32" s="7" t="s">
        <v>62</v>
      </c>
      <c r="S32" s="7" t="s">
        <v>68</v>
      </c>
      <c r="AG32" s="9">
        <v>41190.0</v>
      </c>
      <c r="AH32" s="9">
        <v>41190.0</v>
      </c>
    </row>
    <row r="33">
      <c r="A33" s="6" t="str">
        <f>HYPERLINK("https://archive.ph/o/kCXAs/https://web-beta.archive.org/web/20130315140312/http://clopfic.heroku.com/fics/1486", "Stress relief")</f>
        <v>Stress relief</v>
      </c>
      <c r="E33" s="7" t="s">
        <v>44</v>
      </c>
      <c r="H33" s="8" t="s">
        <v>89</v>
      </c>
      <c r="I33" s="6" t="str">
        <f>HYPERLINK("https://archive.ph/o/kCXAs/https://web-beta.archive.org/web/20130315140312/http://clopfic.heroku.com/authors/198", "Theorangefox")</f>
        <v>Theorangefox</v>
      </c>
      <c r="Z33" s="7" t="s">
        <v>40</v>
      </c>
      <c r="AE33" s="7" t="s">
        <v>43</v>
      </c>
      <c r="AF33" s="7" t="s">
        <v>41</v>
      </c>
      <c r="AG33" s="9">
        <v>41190.0</v>
      </c>
      <c r="AH33" s="9">
        <v>41190.0</v>
      </c>
    </row>
    <row r="34">
      <c r="A34" s="6" t="str">
        <f>HYPERLINK("https://archive.ph/o/kCXAs/https://web-beta.archive.org/web/20130315140312/http://clopfic.heroku.com/fics/1485", "Within and Without Shame")</f>
        <v>Within and Without Shame</v>
      </c>
      <c r="E34" s="7" t="s">
        <v>44</v>
      </c>
      <c r="H34" s="8" t="s">
        <v>90</v>
      </c>
      <c r="I34" s="6" t="str">
        <f>HYPERLINK("https://archive.ph/o/kCXAs/https://web-beta.archive.org/web/20130315140312/http://clopfic.heroku.com/authors/262", "kits")</f>
        <v>kits</v>
      </c>
      <c r="K34" s="7" t="s">
        <v>49</v>
      </c>
      <c r="M34" s="7" t="s">
        <v>56</v>
      </c>
      <c r="O34" s="7" t="s">
        <v>51</v>
      </c>
      <c r="AG34" s="9">
        <v>41190.0</v>
      </c>
      <c r="AH34" s="9">
        <v>41190.0</v>
      </c>
    </row>
    <row r="35">
      <c r="A35" s="6" t="str">
        <f>HYPERLINK("https://archive.ph/o/kCXAs/https://web-beta.archive.org/web/20130315140312/http://clopfic.heroku.com/fics/1103", "Up in the Clouds, Down to Earth")</f>
        <v>Up in the Clouds, Down to Earth</v>
      </c>
      <c r="E35" s="7" t="s">
        <v>44</v>
      </c>
      <c r="F35" s="7" t="s">
        <v>52</v>
      </c>
      <c r="H35" s="8" t="s">
        <v>91</v>
      </c>
      <c r="I35" s="6" t="str">
        <f>HYPERLINK("https://archive.ph/o/kCXAs/https://web-beta.archive.org/web/20130315140312/http://clopfic.heroku.com/authors/70", "SleeplessBrony")</f>
        <v>SleeplessBrony</v>
      </c>
      <c r="J35" s="7" t="s">
        <v>39</v>
      </c>
      <c r="K35" s="7" t="s">
        <v>49</v>
      </c>
      <c r="L35" s="7" t="s">
        <v>62</v>
      </c>
      <c r="M35" s="7" t="s">
        <v>56</v>
      </c>
      <c r="N35" s="7" t="s">
        <v>47</v>
      </c>
      <c r="O35" s="7" t="s">
        <v>51</v>
      </c>
      <c r="V35" s="7" t="s">
        <v>71</v>
      </c>
      <c r="AG35" s="9">
        <v>41051.0</v>
      </c>
      <c r="AH35" s="9">
        <v>41190.0</v>
      </c>
    </row>
    <row r="36">
      <c r="A36" s="6" t="str">
        <f>HYPERLINK("https://archive.ph/o/kCXAs/https://web-beta.archive.org/web/20130315140312/http://clopfic.heroku.com/fics/1484", "Flutter-Fucked")</f>
        <v>Flutter-Fucked</v>
      </c>
      <c r="D36" s="7" t="s">
        <v>37</v>
      </c>
      <c r="E36" s="7" t="s">
        <v>44</v>
      </c>
      <c r="H36" s="8" t="s">
        <v>92</v>
      </c>
      <c r="I36" s="6" t="str">
        <f>HYPERLINK("https://archive.ph/o/kCXAs/https://web-beta.archive.org/web/20130315140312/http://clopfic.heroku.com/authors/553", "ImJustAnotherBrony")</f>
        <v>ImJustAnotherBrony</v>
      </c>
      <c r="J36" s="7" t="s">
        <v>39</v>
      </c>
      <c r="K36" s="7" t="s">
        <v>49</v>
      </c>
      <c r="L36" s="7" t="s">
        <v>62</v>
      </c>
      <c r="M36" s="7" t="s">
        <v>56</v>
      </c>
      <c r="N36" s="7" t="s">
        <v>47</v>
      </c>
      <c r="O36" s="7" t="s">
        <v>51</v>
      </c>
      <c r="AE36" s="7" t="s">
        <v>43</v>
      </c>
      <c r="AG36" s="9">
        <v>41189.0</v>
      </c>
      <c r="AH36" s="9">
        <v>41189.0</v>
      </c>
    </row>
    <row r="37">
      <c r="A37" s="6" t="str">
        <f>HYPERLINK("https://archive.ph/o/kCXAs/https://web-beta.archive.org/web/20130315140312/http://clopfic.heroku.com/fics/851", "The Wind Beneath Her Wings")</f>
        <v>The Wind Beneath Her Wings</v>
      </c>
      <c r="E37" s="7" t="s">
        <v>44</v>
      </c>
      <c r="F37" s="7" t="s">
        <v>52</v>
      </c>
      <c r="H37" s="8" t="s">
        <v>93</v>
      </c>
      <c r="I37" s="6" t="str">
        <f>HYPERLINK("https://archive.ph/o/kCXAs/https://web-beta.archive.org/web/20130315140312/http://clopfic.heroku.com/authors/253", "TAW")</f>
        <v>TAW</v>
      </c>
      <c r="J37" s="7" t="s">
        <v>39</v>
      </c>
      <c r="M37" s="7" t="s">
        <v>56</v>
      </c>
      <c r="AG37" s="9">
        <v>40972.0</v>
      </c>
      <c r="AH37" s="9">
        <v>41189.0</v>
      </c>
    </row>
    <row r="38">
      <c r="A38" s="6" t="str">
        <f>HYPERLINK("https://archive.ph/o/kCXAs/https://web-beta.archive.org/web/20130315140312/http://clopfic.heroku.com/fics/1483", "Father Son Bonding")</f>
        <v>Father Son Bonding</v>
      </c>
      <c r="D38" s="7" t="s">
        <v>37</v>
      </c>
      <c r="H38" s="8" t="s">
        <v>94</v>
      </c>
      <c r="I38" s="6" t="str">
        <f>HYPERLINK("https://archive.ph/o/kCXAs/https://web-beta.archive.org/web/20130315140312/http://clopfic.heroku.com/authors/1626", "Gabby Cums")</f>
        <v>Gabby Cums</v>
      </c>
      <c r="AE38" s="7" t="s">
        <v>43</v>
      </c>
      <c r="AG38" s="9">
        <v>41189.0</v>
      </c>
      <c r="AH38" s="9">
        <v>41189.0</v>
      </c>
    </row>
    <row r="39">
      <c r="A39" s="6" t="str">
        <f>HYPERLINK("https://archive.ph/o/kCXAs/https://web-beta.archive.org/web/20130315140312/http://clopfic.heroku.com/fics/1065", "Filly Fooling")</f>
        <v>Filly Fooling</v>
      </c>
      <c r="D39" s="7" t="s">
        <v>37</v>
      </c>
      <c r="E39" s="7" t="s">
        <v>44</v>
      </c>
      <c r="F39" s="7" t="s">
        <v>52</v>
      </c>
      <c r="H39" s="8" t="s">
        <v>95</v>
      </c>
      <c r="I39" s="6" t="str">
        <f>HYPERLINK("https://archive.ph/o/kCXAs/https://web-beta.archive.org/web/20130315140312/http://clopfic.heroku.com/authors/1200", "cooopercrisp")</f>
        <v>cooopercrisp</v>
      </c>
      <c r="J39" s="7" t="s">
        <v>39</v>
      </c>
      <c r="K39" s="7" t="s">
        <v>49</v>
      </c>
      <c r="L39" s="7" t="s">
        <v>62</v>
      </c>
      <c r="M39" s="7" t="s">
        <v>56</v>
      </c>
      <c r="N39" s="7" t="s">
        <v>47</v>
      </c>
      <c r="O39" s="7" t="s">
        <v>51</v>
      </c>
      <c r="P39" s="7" t="s">
        <v>64</v>
      </c>
      <c r="Q39" s="7" t="s">
        <v>65</v>
      </c>
      <c r="R39" s="7" t="s">
        <v>66</v>
      </c>
      <c r="V39" s="7" t="s">
        <v>71</v>
      </c>
      <c r="Z39" s="7" t="s">
        <v>40</v>
      </c>
      <c r="AF39" s="7" t="s">
        <v>41</v>
      </c>
      <c r="AG39" s="9">
        <v>41041.0</v>
      </c>
      <c r="AH39" s="9">
        <v>41189.0</v>
      </c>
    </row>
    <row r="40">
      <c r="A40" s="6" t="str">
        <f>HYPERLINK("https://archive.ph/o/kCXAs/https://web-beta.archive.org/web/20130315140312/http://clopfic.heroku.com/fics/1482", "Caught")</f>
        <v>Caught</v>
      </c>
      <c r="C40" s="7" t="s">
        <v>54</v>
      </c>
      <c r="H40" s="8" t="s">
        <v>96</v>
      </c>
      <c r="I40" s="6" t="str">
        <f>HYPERLINK("https://archive.ph/o/kCXAs/https://web-beta.archive.org/web/20130315140312/http://clopfic.heroku.com/authors/1000", "Maple Sunset")</f>
        <v>Maple Sunset</v>
      </c>
      <c r="T40" s="7" t="s">
        <v>59</v>
      </c>
      <c r="AG40" s="9">
        <v>41189.0</v>
      </c>
      <c r="AH40" s="9">
        <v>41189.0</v>
      </c>
    </row>
    <row r="41">
      <c r="A41" s="6" t="str">
        <f>HYPERLINK("https://archive.ph/o/kCXAs/https://web-beta.archive.org/web/20130315140312/http://clopfic.heroku.com/fics/1480", "Crazy Bitch")</f>
        <v>Crazy Bitch</v>
      </c>
      <c r="B41" s="7" t="s">
        <v>36</v>
      </c>
      <c r="D41" s="7" t="s">
        <v>37</v>
      </c>
      <c r="H41" s="8" t="s">
        <v>97</v>
      </c>
      <c r="I41" s="6" t="str">
        <f>HYPERLINK("https://archive.ph/o/kCXAs/https://web-beta.archive.org/web/20130315140312/http://clopfic.heroku.com/authors/1624", "Aquaman52")</f>
        <v>Aquaman52</v>
      </c>
      <c r="Z41" s="7" t="s">
        <v>40</v>
      </c>
      <c r="AF41" s="7" t="s">
        <v>41</v>
      </c>
      <c r="AG41" s="9">
        <v>41188.0</v>
      </c>
      <c r="AH41" s="9">
        <v>41188.0</v>
      </c>
    </row>
    <row r="42">
      <c r="A42" s="6" t="str">
        <f>HYPERLINK("https://archive.ph/o/kCXAs/https://web-beta.archive.org/web/20130315140312/http://clopfic.heroku.com/fics/1479", "Practice Makes Perfect")</f>
        <v>Practice Makes Perfect</v>
      </c>
      <c r="E42" s="7" t="s">
        <v>44</v>
      </c>
      <c r="H42" s="8" t="s">
        <v>98</v>
      </c>
      <c r="I42" s="6" t="str">
        <f>HYPERLINK("https://archive.ph/o/kCXAs/https://web-beta.archive.org/web/20130315140312/http://clopfic.heroku.com/authors/860", "JujubeLand")</f>
        <v>JujubeLand</v>
      </c>
      <c r="T42" s="7" t="s">
        <v>59</v>
      </c>
      <c r="AE42" s="7" t="s">
        <v>43</v>
      </c>
      <c r="AG42" s="9">
        <v>41188.0</v>
      </c>
      <c r="AH42" s="9">
        <v>41188.0</v>
      </c>
    </row>
    <row r="43">
      <c r="A43" s="6" t="str">
        <f>HYPERLINK("https://archive.ph/o/kCXAs/https://web-beta.archive.org/web/20130315140312/http://clopfic.heroku.com/fics/1478", "Prisoner of the Pretty Pony Princesses")</f>
        <v>Prisoner of the Pretty Pony Princesses</v>
      </c>
      <c r="C43" s="7" t="s">
        <v>54</v>
      </c>
      <c r="D43" s="7" t="s">
        <v>37</v>
      </c>
      <c r="H43" s="8" t="s">
        <v>99</v>
      </c>
      <c r="I43" s="6" t="str">
        <f>HYPERLINK("https://archive.ph/o/kCXAs/https://web-beta.archive.org/web/20130315140312/http://clopfic.heroku.com/authors/180", "Anonymous")</f>
        <v>Anonymous</v>
      </c>
      <c r="P43" s="7" t="s">
        <v>64</v>
      </c>
      <c r="Q43" s="7" t="s">
        <v>65</v>
      </c>
      <c r="AE43" s="7" t="s">
        <v>43</v>
      </c>
      <c r="AF43" s="7" t="s">
        <v>41</v>
      </c>
      <c r="AG43" s="9">
        <v>41188.0</v>
      </c>
      <c r="AH43" s="9">
        <v>41188.0</v>
      </c>
    </row>
    <row r="44">
      <c r="A44" s="6" t="str">
        <f>HYPERLINK("https://archive.ph/o/kCXAs/https://web-beta.archive.org/web/20130315140312/http://clopfic.heroku.com/fics/1254", "120 Days of Blueblood")</f>
        <v>120 Days of Blueblood</v>
      </c>
      <c r="B44" s="7" t="s">
        <v>36</v>
      </c>
      <c r="D44" s="7" t="s">
        <v>37</v>
      </c>
      <c r="H44" s="8" t="s">
        <v>100</v>
      </c>
      <c r="I44" s="6" t="str">
        <f>HYPERLINK("https://archive.ph/o/kCXAs/https://web-beta.archive.org/web/20130315140312/http://clopfic.heroku.com/authors/1133", "Bronystories")</f>
        <v>Bronystories</v>
      </c>
      <c r="J44" s="7" t="s">
        <v>39</v>
      </c>
      <c r="K44" s="7" t="s">
        <v>49</v>
      </c>
      <c r="L44" s="7" t="s">
        <v>62</v>
      </c>
      <c r="N44" s="7" t="s">
        <v>47</v>
      </c>
      <c r="P44" s="7" t="s">
        <v>64</v>
      </c>
      <c r="Q44" s="7" t="s">
        <v>65</v>
      </c>
      <c r="S44" s="7" t="s">
        <v>68</v>
      </c>
      <c r="T44" s="7" t="s">
        <v>59</v>
      </c>
      <c r="U44" s="7" t="s">
        <v>60</v>
      </c>
      <c r="V44" s="7" t="s">
        <v>71</v>
      </c>
      <c r="Z44" s="7" t="s">
        <v>40</v>
      </c>
      <c r="AB44" s="7" t="s">
        <v>101</v>
      </c>
      <c r="AC44" s="7" t="s">
        <v>102</v>
      </c>
      <c r="AE44" s="7" t="s">
        <v>43</v>
      </c>
      <c r="AF44" s="7" t="s">
        <v>41</v>
      </c>
      <c r="AG44" s="9">
        <v>41099.0</v>
      </c>
      <c r="AH44" s="9">
        <v>41187.0</v>
      </c>
    </row>
    <row r="45">
      <c r="A45" s="6" t="str">
        <f>HYPERLINK("https://archive.ph/o/kCXAs/https://web-beta.archive.org/web/20130315140312/http://clopfic.heroku.com/fics/1477", "Twilestia")</f>
        <v>Twilestia</v>
      </c>
      <c r="E45" s="7" t="s">
        <v>44</v>
      </c>
      <c r="H45" s="8" t="s">
        <v>103</v>
      </c>
      <c r="I45" s="6" t="str">
        <f>HYPERLINK("https://archive.ph/o/kCXAs/https://web-beta.archive.org/web/20130315140312/http://clopfic.heroku.com/authors/681", "Anonymous Pegasus")</f>
        <v>Anonymous Pegasus</v>
      </c>
      <c r="J45" s="7" t="s">
        <v>39</v>
      </c>
      <c r="P45" s="7" t="s">
        <v>64</v>
      </c>
      <c r="AG45" s="9">
        <v>41187.0</v>
      </c>
      <c r="AH45" s="9">
        <v>41187.0</v>
      </c>
    </row>
    <row r="46">
      <c r="A46" s="6" t="str">
        <f>HYPERLINK("https://archive.ph/o/kCXAs/https://web-beta.archive.org/web/20130315140312/http://clopfic.heroku.com/fics/1476", "Rainbow Dash Always Undresses in Style")</f>
        <v>Rainbow Dash Always Undresses in Style</v>
      </c>
      <c r="H46" s="8" t="s">
        <v>104</v>
      </c>
      <c r="I46" s="6" t="str">
        <f>HYPERLINK("https://archive.ph/o/kCXAs/https://web-beta.archive.org/web/20130315140312/http://clopfic.heroku.com/authors/1623", "sparklepeep")</f>
        <v>sparklepeep</v>
      </c>
      <c r="K46" s="7" t="s">
        <v>49</v>
      </c>
      <c r="M46" s="7" t="s">
        <v>56</v>
      </c>
      <c r="Z46" s="7" t="s">
        <v>40</v>
      </c>
      <c r="AE46" s="7" t="s">
        <v>43</v>
      </c>
      <c r="AG46" s="9">
        <v>41187.0</v>
      </c>
      <c r="AH46" s="9">
        <v>41187.0</v>
      </c>
    </row>
    <row r="47">
      <c r="A47" s="6" t="str">
        <f>HYPERLINK("https://archive.ph/o/kCXAs/https://web-beta.archive.org/web/20130315140312/http://clopfic.heroku.com/fics/1403", "Kindness from BLOOD")</f>
        <v>Kindness from BLOOD</v>
      </c>
      <c r="B47" s="7" t="s">
        <v>36</v>
      </c>
      <c r="C47" s="7" t="s">
        <v>54</v>
      </c>
      <c r="E47" s="7" t="s">
        <v>44</v>
      </c>
      <c r="F47" s="7" t="s">
        <v>52</v>
      </c>
      <c r="H47" s="8" t="s">
        <v>105</v>
      </c>
      <c r="I47" s="6" t="str">
        <f>HYPERLINK("https://archive.ph/o/kCXAs/https://web-beta.archive.org/web/20130315140312/http://clopfic.heroku.com/authors/1480", "Jregar")</f>
        <v>Jregar</v>
      </c>
      <c r="O47" s="7" t="s">
        <v>51</v>
      </c>
      <c r="Z47" s="7" t="s">
        <v>40</v>
      </c>
      <c r="AF47" s="7" t="s">
        <v>41</v>
      </c>
      <c r="AG47" s="9">
        <v>41149.0</v>
      </c>
      <c r="AH47" s="9">
        <v>41186.0</v>
      </c>
    </row>
    <row r="48">
      <c r="A48" s="6" t="str">
        <f>HYPERLINK("https://archive.ph/o/kCXAs/https://web-beta.archive.org/web/20130315140312/http://clopfic.heroku.com/fics/1212", "Adventures of a Teenage Foalsitter")</f>
        <v>Adventures of a Teenage Foalsitter</v>
      </c>
      <c r="B48" s="7" t="s">
        <v>36</v>
      </c>
      <c r="D48" s="7" t="s">
        <v>37</v>
      </c>
      <c r="E48" s="7" t="s">
        <v>44</v>
      </c>
      <c r="F48" s="7" t="s">
        <v>52</v>
      </c>
      <c r="H48" s="8" t="s">
        <v>106</v>
      </c>
      <c r="I48" s="6" t="str">
        <f>HYPERLINK("https://archive.ph/o/kCXAs/https://web-beta.archive.org/web/20130315140312/http://clopfic.heroku.com/authors/1133", "Bronystories")</f>
        <v>Bronystories</v>
      </c>
      <c r="J48" s="7" t="s">
        <v>39</v>
      </c>
      <c r="L48" s="7" t="s">
        <v>62</v>
      </c>
      <c r="P48" s="7" t="s">
        <v>64</v>
      </c>
      <c r="Q48" s="7" t="s">
        <v>65</v>
      </c>
      <c r="V48" s="7" t="s">
        <v>71</v>
      </c>
      <c r="X48" s="7" t="s">
        <v>107</v>
      </c>
      <c r="Z48" s="7" t="s">
        <v>40</v>
      </c>
      <c r="AE48" s="7" t="s">
        <v>43</v>
      </c>
      <c r="AF48" s="7" t="s">
        <v>41</v>
      </c>
      <c r="AG48" s="9">
        <v>41084.0</v>
      </c>
      <c r="AH48" s="9">
        <v>41186.0</v>
      </c>
    </row>
    <row r="49">
      <c r="A49" s="6" t="str">
        <f>HYPERLINK("https://archive.ph/o/kCXAs/https://web-beta.archive.org/web/20130315140312/http://clopfic.heroku.com/fics/1373", "Meus Flamma Diligo")</f>
        <v>Meus Flamma Diligo</v>
      </c>
      <c r="E49" s="7" t="s">
        <v>44</v>
      </c>
      <c r="H49" s="8" t="s">
        <v>108</v>
      </c>
      <c r="I49" s="6" t="str">
        <f>HYPERLINK("https://archive.ph/o/kCXAs/https://web-beta.archive.org/web/20130315140312/http://clopfic.heroku.com/authors/1443", "Arby Works")</f>
        <v>Arby Works</v>
      </c>
      <c r="N49" s="7" t="s">
        <v>47</v>
      </c>
      <c r="R49" s="7" t="s">
        <v>66</v>
      </c>
      <c r="AG49" s="9">
        <v>41136.0</v>
      </c>
      <c r="AH49" s="9">
        <v>41185.0</v>
      </c>
    </row>
    <row r="50">
      <c r="A50" s="6" t="str">
        <f>HYPERLINK("https://archive.ph/o/kCXAs/https://web-beta.archive.org/web/20130315140312/http://clopfic.heroku.com/fics/1182", "And Then They Blanked")</f>
        <v>And Then They Blanked</v>
      </c>
      <c r="C50" s="7" t="s">
        <v>54</v>
      </c>
      <c r="D50" s="7" t="s">
        <v>37</v>
      </c>
      <c r="H50" s="8" t="s">
        <v>109</v>
      </c>
      <c r="I50" s="6" t="str">
        <f>HYPERLINK("https://archive.ph/o/kCXAs/https://web-beta.archive.org/web/20130315140312/http://clopfic.heroku.com/authors/608", "SwiperTheFox")</f>
        <v>SwiperTheFox</v>
      </c>
      <c r="L50" s="7" t="s">
        <v>62</v>
      </c>
      <c r="Q50" s="7" t="s">
        <v>65</v>
      </c>
      <c r="Z50" s="7" t="s">
        <v>40</v>
      </c>
      <c r="AE50" s="7" t="s">
        <v>43</v>
      </c>
      <c r="AF50" s="7" t="s">
        <v>41</v>
      </c>
      <c r="AG50" s="9">
        <v>41075.0</v>
      </c>
      <c r="AH50" s="9">
        <v>41184.0</v>
      </c>
    </row>
    <row r="51">
      <c r="A51" s="6" t="str">
        <f>HYPERLINK("https://archive.ph/o/kCXAs/https://web-beta.archive.org/web/20130315140312/http://clopfic.heroku.com/fics/782", "New Discoveries")</f>
        <v>New Discoveries</v>
      </c>
      <c r="E51" s="7" t="s">
        <v>44</v>
      </c>
      <c r="H51" s="8" t="s">
        <v>110</v>
      </c>
      <c r="I51" s="6" t="str">
        <f>HYPERLINK("https://archive.ph/o/kCXAs/https://web-beta.archive.org/web/20130315140312/http://clopfic.heroku.com/authors/546", "Rainbowdashyy")</f>
        <v>Rainbowdashyy</v>
      </c>
      <c r="J51" s="7" t="s">
        <v>39</v>
      </c>
      <c r="L51" s="7" t="s">
        <v>62</v>
      </c>
      <c r="M51" s="7" t="s">
        <v>56</v>
      </c>
      <c r="N51" s="7" t="s">
        <v>47</v>
      </c>
      <c r="Z51" s="7" t="s">
        <v>40</v>
      </c>
      <c r="AD51" s="7" t="s">
        <v>111</v>
      </c>
      <c r="AE51" s="7" t="s">
        <v>43</v>
      </c>
      <c r="AG51" s="9">
        <v>40946.0</v>
      </c>
      <c r="AH51" s="9">
        <v>41183.0</v>
      </c>
    </row>
    <row r="52">
      <c r="A52" s="6" t="str">
        <f>HYPERLINK("https://archive.ph/o/kCXAs/https://web-beta.archive.org/web/20130315140312/http://clopfic.heroku.com/fics/1298", "Applejack's Fun Filled Day")</f>
        <v>Applejack's Fun Filled Day</v>
      </c>
      <c r="D52" s="7" t="s">
        <v>37</v>
      </c>
      <c r="H52" s="8" t="s">
        <v>112</v>
      </c>
      <c r="I52" s="6" t="str">
        <f>HYPERLINK("https://archive.ph/o/kCXAs/https://web-beta.archive.org/web/20130315140312/http://clopfic.heroku.com/authors/187", "TheBrony")</f>
        <v>TheBrony</v>
      </c>
      <c r="J52" s="7" t="s">
        <v>39</v>
      </c>
      <c r="K52" s="7" t="s">
        <v>49</v>
      </c>
      <c r="L52" s="7" t="s">
        <v>62</v>
      </c>
      <c r="M52" s="7" t="s">
        <v>56</v>
      </c>
      <c r="N52" s="7" t="s">
        <v>47</v>
      </c>
      <c r="O52" s="7" t="s">
        <v>51</v>
      </c>
      <c r="P52" s="7" t="s">
        <v>64</v>
      </c>
      <c r="Q52" s="7" t="s">
        <v>65</v>
      </c>
      <c r="T52" s="7" t="s">
        <v>59</v>
      </c>
      <c r="U52" s="7" t="s">
        <v>60</v>
      </c>
      <c r="X52" s="7" t="s">
        <v>107</v>
      </c>
      <c r="Z52" s="7" t="s">
        <v>40</v>
      </c>
      <c r="AA52" s="7" t="s">
        <v>113</v>
      </c>
      <c r="AD52" s="7" t="s">
        <v>111</v>
      </c>
      <c r="AF52" s="7" t="s">
        <v>41</v>
      </c>
      <c r="AG52" s="9">
        <v>41118.0</v>
      </c>
      <c r="AH52" s="9">
        <v>41183.0</v>
      </c>
    </row>
    <row r="53">
      <c r="A53" s="6" t="str">
        <f>HYPERLINK("https://archive.ph/o/kCXAs/https://web-beta.archive.org/web/20130315140312/http://clopfic.heroku.com/fics/1474", "Safe")</f>
        <v>Safe</v>
      </c>
      <c r="D53" s="7" t="s">
        <v>37</v>
      </c>
      <c r="H53" s="8" t="s">
        <v>114</v>
      </c>
      <c r="I53" s="6" t="str">
        <f>HYPERLINK("https://archive.ph/o/kCXAs/https://web-beta.archive.org/web/20130315140312/http://clopfic.heroku.com/authors/1616", "CouchCrusader")</f>
        <v>CouchCrusader</v>
      </c>
      <c r="Z53" s="7" t="s">
        <v>40</v>
      </c>
      <c r="AE53" s="7" t="s">
        <v>43</v>
      </c>
      <c r="AG53" s="9">
        <v>41183.0</v>
      </c>
      <c r="AH53" s="9">
        <v>41183.0</v>
      </c>
    </row>
    <row r="54">
      <c r="A54" s="6" t="str">
        <f>HYPERLINK("https://archive.ph/o/kCXAs/https://web-beta.archive.org/web/20130315140312/http://clopfic.heroku.com/fics/835", "Misunderstood, Underapreciated, Overworked")</f>
        <v>Misunderstood, Underapreciated, Overworked</v>
      </c>
      <c r="B54" s="7" t="s">
        <v>36</v>
      </c>
      <c r="E54" s="7" t="s">
        <v>44</v>
      </c>
      <c r="F54" s="7" t="s">
        <v>52</v>
      </c>
      <c r="H54" s="10" t="s">
        <v>115</v>
      </c>
      <c r="I54" s="6" t="str">
        <f>HYPERLINK("https://archive.ph/o/kCXAs/https://web-beta.archive.org/web/20130315140312/http://clopfic.heroku.com/authors/617", "Earth Shadow (AND) Frost Azure")</f>
        <v>Earth Shadow (AND) Frost Azure</v>
      </c>
      <c r="L54" s="7" t="s">
        <v>62</v>
      </c>
      <c r="M54" s="7" t="s">
        <v>56</v>
      </c>
      <c r="N54" s="7" t="s">
        <v>47</v>
      </c>
      <c r="S54" s="7" t="s">
        <v>68</v>
      </c>
      <c r="T54" s="7" t="s">
        <v>59</v>
      </c>
      <c r="U54" s="7" t="s">
        <v>60</v>
      </c>
      <c r="V54" s="7" t="s">
        <v>71</v>
      </c>
      <c r="Z54" s="7" t="s">
        <v>40</v>
      </c>
      <c r="AA54" s="7" t="s">
        <v>113</v>
      </c>
      <c r="AD54" s="7" t="s">
        <v>111</v>
      </c>
      <c r="AF54" s="7" t="s">
        <v>41</v>
      </c>
      <c r="AG54" s="9">
        <v>40966.0</v>
      </c>
      <c r="AH54" s="9">
        <v>41181.0</v>
      </c>
    </row>
    <row r="55">
      <c r="A55" s="6" t="str">
        <f>HYPERLINK("https://archive.ph/o/kCXAs/https://web-beta.archive.org/web/20130315140312/http://clopfic.heroku.com/fics/1471", "Futa Chrysalis and Twilight Sparkle Have Sex")</f>
        <v>Futa Chrysalis and Twilight Sparkle Have Sex</v>
      </c>
      <c r="H55" s="8" t="s">
        <v>116</v>
      </c>
      <c r="I55" s="6" t="str">
        <f>HYPERLINK("https://archive.ph/o/kCXAs/https://web-beta.archive.org/web/20130315140312/http://clopfic.heroku.com/authors/1196", "SexyBack")</f>
        <v>SexyBack</v>
      </c>
      <c r="J55" s="7" t="s">
        <v>39</v>
      </c>
      <c r="AF55" s="7" t="s">
        <v>41</v>
      </c>
      <c r="AG55" s="9">
        <v>41181.0</v>
      </c>
      <c r="AH55" s="9">
        <v>41181.0</v>
      </c>
    </row>
    <row r="56">
      <c r="A56" s="6" t="str">
        <f>HYPERLINK("https://archive.ph/o/kCXAs/https://web-beta.archive.org/web/20130315140312/http://clopfic.heroku.com/fics/1470", "My Little Pony: Friendship is Rugose and Squamous")</f>
        <v>My Little Pony: Friendship is Rugose and Squamous</v>
      </c>
      <c r="B56" s="7" t="s">
        <v>36</v>
      </c>
      <c r="C56" s="7" t="s">
        <v>54</v>
      </c>
      <c r="D56" s="7" t="s">
        <v>37</v>
      </c>
      <c r="H56" s="8" t="s">
        <v>117</v>
      </c>
      <c r="I56" s="6" t="str">
        <f t="shared" ref="I56:I57" si="2">HYPERLINK("https://archive.ph/o/kCXAs/https://web-beta.archive.org/web/20130315140312/http://clopfic.heroku.com/authors/180", "Anonymous")</f>
        <v>Anonymous</v>
      </c>
      <c r="P56" s="7" t="s">
        <v>64</v>
      </c>
      <c r="Z56" s="7" t="s">
        <v>40</v>
      </c>
      <c r="AF56" s="7" t="s">
        <v>41</v>
      </c>
      <c r="AG56" s="9">
        <v>41180.0</v>
      </c>
      <c r="AH56" s="9">
        <v>41180.0</v>
      </c>
    </row>
    <row r="57">
      <c r="A57" s="6" t="str">
        <f>HYPERLINK("https://archive.ph/o/kCXAs/https://web-beta.archive.org/web/20130315140312/http://clopfic.heroku.com/fics/1469", "Purple Tinker x Anon")</f>
        <v>Purple Tinker x Anon</v>
      </c>
      <c r="C57" s="7" t="s">
        <v>54</v>
      </c>
      <c r="H57" s="8" t="s">
        <v>118</v>
      </c>
      <c r="I57" s="6" t="str">
        <f t="shared" si="2"/>
        <v>Anonymous</v>
      </c>
      <c r="Z57" s="7" t="s">
        <v>40</v>
      </c>
      <c r="AF57" s="7" t="s">
        <v>41</v>
      </c>
      <c r="AG57" s="9">
        <v>41180.0</v>
      </c>
      <c r="AH57" s="9">
        <v>41180.0</v>
      </c>
    </row>
    <row r="58">
      <c r="A58" s="6" t="str">
        <f>HYPERLINK("https://archive.ph/o/kCXAs/https://web-beta.archive.org/web/20130315140312/http://clopfic.heroku.com/fics/1431", "Deep Depression ")</f>
        <v>Deep Depression </v>
      </c>
      <c r="B58" s="7" t="s">
        <v>36</v>
      </c>
      <c r="E58" s="7" t="s">
        <v>44</v>
      </c>
      <c r="F58" s="7" t="s">
        <v>52</v>
      </c>
      <c r="H58" s="8" t="s">
        <v>119</v>
      </c>
      <c r="I58" s="6" t="str">
        <f>HYPERLINK("https://archive.ph/o/kCXAs/https://web-beta.archive.org/web/20130315140312/http://clopfic.heroku.com/authors/1510", "MAD- The Awesomeman")</f>
        <v>MAD- The Awesomeman</v>
      </c>
      <c r="J58" s="7" t="s">
        <v>39</v>
      </c>
      <c r="R58" s="7" t="s">
        <v>66</v>
      </c>
      <c r="Z58" s="7" t="s">
        <v>40</v>
      </c>
      <c r="AF58" s="7" t="s">
        <v>41</v>
      </c>
      <c r="AG58" s="9">
        <v>41165.0</v>
      </c>
      <c r="AH58" s="9">
        <v>41179.0</v>
      </c>
    </row>
    <row r="59">
      <c r="A59" s="6" t="str">
        <f>HYPERLINK("https://archive.ph/o/kCXAs/https://web-beta.archive.org/web/20130315140312/http://clopfic.heroku.com/fics/1468", "Turning a New Leaf")</f>
        <v>Turning a New Leaf</v>
      </c>
      <c r="H59" s="8" t="s">
        <v>120</v>
      </c>
      <c r="I59" s="6" t="str">
        <f>HYPERLINK("https://archive.ph/o/kCXAs/https://web-beta.archive.org/web/20130315140312/http://clopfic.heroku.com/authors/1458", "Trixareforkids")</f>
        <v>Trixareforkids</v>
      </c>
      <c r="AF59" s="7" t="s">
        <v>41</v>
      </c>
      <c r="AG59" s="9">
        <v>41179.0</v>
      </c>
      <c r="AH59" s="9">
        <v>41179.0</v>
      </c>
    </row>
    <row r="60">
      <c r="A60" s="6" t="str">
        <f>HYPERLINK("https://archive.ph/o/kCXAs/https://web-beta.archive.org/web/20130315140312/http://clopfic.heroku.com/fics/1072", "Twilight's Treatment Vol. 2")</f>
        <v>Twilight's Treatment Vol. 2</v>
      </c>
      <c r="C60" s="7" t="s">
        <v>54</v>
      </c>
      <c r="F60" s="7" t="s">
        <v>52</v>
      </c>
      <c r="H60" s="8" t="s">
        <v>121</v>
      </c>
      <c r="I60" s="6" t="str">
        <f>HYPERLINK("https://archive.ph/o/kCXAs/https://web-beta.archive.org/web/20130315140312/http://clopfic.heroku.com/authors/751", "HHarlequin")</f>
        <v>HHarlequin</v>
      </c>
      <c r="J60" s="7" t="s">
        <v>39</v>
      </c>
      <c r="K60" s="7" t="s">
        <v>49</v>
      </c>
      <c r="L60" s="7" t="s">
        <v>62</v>
      </c>
      <c r="M60" s="7" t="s">
        <v>56</v>
      </c>
      <c r="N60" s="7" t="s">
        <v>47</v>
      </c>
      <c r="O60" s="7" t="s">
        <v>51</v>
      </c>
      <c r="R60" s="7" t="s">
        <v>66</v>
      </c>
      <c r="U60" s="7" t="s">
        <v>60</v>
      </c>
      <c r="AG60" s="9">
        <v>41042.0</v>
      </c>
      <c r="AH60" s="9">
        <v>41179.0</v>
      </c>
    </row>
    <row r="61">
      <c r="A61" s="6" t="str">
        <f>HYPERLINK("https://archive.ph/o/kCXAs/https://web-beta.archive.org/web/20130315140312/http://clopfic.heroku.com/fics/1467", "Quiet on the Farm")</f>
        <v>Quiet on the Farm</v>
      </c>
      <c r="C61" s="7" t="s">
        <v>54</v>
      </c>
      <c r="E61" s="7" t="s">
        <v>44</v>
      </c>
      <c r="H61" s="8" t="s">
        <v>122</v>
      </c>
      <c r="I61" s="6" t="str">
        <f>HYPERLINK("https://archive.ph/o/kCXAs/https://web-beta.archive.org/web/20130315140312/http://clopfic.heroku.com/authors/675", "darf")</f>
        <v>darf</v>
      </c>
      <c r="L61" s="7" t="s">
        <v>62</v>
      </c>
      <c r="V61" s="7" t="s">
        <v>71</v>
      </c>
      <c r="AG61" s="9">
        <v>41179.0</v>
      </c>
      <c r="AH61" s="9">
        <v>41179.0</v>
      </c>
    </row>
    <row r="62">
      <c r="A62" s="6" t="str">
        <f>HYPERLINK("https://archive.ph/o/kCXAs/https://web-beta.archive.org/web/20130315140312/http://clopfic.heroku.com/fics/1466", "Lolispike Monogatari")</f>
        <v>Lolispike Monogatari</v>
      </c>
      <c r="C62" s="7" t="s">
        <v>54</v>
      </c>
      <c r="D62" s="7" t="s">
        <v>37</v>
      </c>
      <c r="F62" s="7" t="s">
        <v>52</v>
      </c>
      <c r="H62" s="8" t="s">
        <v>123</v>
      </c>
      <c r="I62" s="6" t="str">
        <f>HYPERLINK("https://archive.ph/o/kCXAs/https://web-beta.archive.org/web/20130315140312/http://clopfic.heroku.com/authors/645", "LunaIsMaiWaifu")</f>
        <v>LunaIsMaiWaifu</v>
      </c>
      <c r="K62" s="7" t="s">
        <v>49</v>
      </c>
      <c r="R62" s="7" t="s">
        <v>66</v>
      </c>
      <c r="AG62" s="9">
        <v>41179.0</v>
      </c>
      <c r="AH62" s="9">
        <v>41179.0</v>
      </c>
    </row>
    <row r="63">
      <c r="A63" s="6" t="str">
        <f>HYPERLINK("https://archive.ph/o/kCXAs/https://web-beta.archive.org/web/20130315140312/http://clopfic.heroku.com/fics/821", "My Little Slave")</f>
        <v>My Little Slave</v>
      </c>
      <c r="B63" s="7" t="s">
        <v>36</v>
      </c>
      <c r="D63" s="7" t="s">
        <v>37</v>
      </c>
      <c r="F63" s="7" t="s">
        <v>52</v>
      </c>
      <c r="H63" s="8" t="s">
        <v>124</v>
      </c>
      <c r="I63" s="6" t="str">
        <f>HYPERLINK("https://archive.ph/o/kCXAs/https://web-beta.archive.org/web/20130315140312/http://clopfic.heroku.com/authors/605", "The Mystery Fluttershy Fan")</f>
        <v>The Mystery Fluttershy Fan</v>
      </c>
      <c r="J63" s="7" t="s">
        <v>39</v>
      </c>
      <c r="K63" s="7" t="s">
        <v>49</v>
      </c>
      <c r="L63" s="7" t="s">
        <v>62</v>
      </c>
      <c r="M63" s="7" t="s">
        <v>56</v>
      </c>
      <c r="O63" s="7" t="s">
        <v>51</v>
      </c>
      <c r="Q63" s="7" t="s">
        <v>65</v>
      </c>
      <c r="R63" s="7" t="s">
        <v>66</v>
      </c>
      <c r="S63" s="7" t="s">
        <v>68</v>
      </c>
      <c r="T63" s="7" t="s">
        <v>59</v>
      </c>
      <c r="U63" s="7" t="s">
        <v>60</v>
      </c>
      <c r="V63" s="7" t="s">
        <v>71</v>
      </c>
      <c r="Z63" s="7" t="s">
        <v>40</v>
      </c>
      <c r="AF63" s="7" t="s">
        <v>41</v>
      </c>
      <c r="AG63" s="9">
        <v>40963.0</v>
      </c>
      <c r="AH63" s="9">
        <v>41179.0</v>
      </c>
    </row>
    <row r="64">
      <c r="A64" s="6" t="str">
        <f>HYPERLINK("https://archive.ph/o/kCXAs/https://web-beta.archive.org/web/20130315140312/http://clopfic.heroku.com/fics/1465", "Dirty Sexy Pony: Anniversary")</f>
        <v>Dirty Sexy Pony: Anniversary</v>
      </c>
      <c r="B64" s="7" t="s">
        <v>36</v>
      </c>
      <c r="D64" s="7" t="s">
        <v>37</v>
      </c>
      <c r="F64" s="7" t="s">
        <v>52</v>
      </c>
      <c r="H64" s="8" t="s">
        <v>125</v>
      </c>
      <c r="I64" s="6" t="str">
        <f>HYPERLINK("https://archive.ph/o/kCXAs/https://web-beta.archive.org/web/20130315140312/http://clopfic.heroku.com/authors/781", "Typewriterpony")</f>
        <v>Typewriterpony</v>
      </c>
      <c r="N64" s="7" t="s">
        <v>47</v>
      </c>
      <c r="R64" s="7" t="s">
        <v>66</v>
      </c>
      <c r="AF64" s="7" t="s">
        <v>41</v>
      </c>
      <c r="AG64" s="9">
        <v>41178.0</v>
      </c>
      <c r="AH64" s="9">
        <v>41178.0</v>
      </c>
    </row>
    <row r="65">
      <c r="A65" s="6" t="str">
        <f>HYPERLINK("https://archive.ph/o/kCXAs/https://web-beta.archive.org/web/20130315140312/http://clopfic.heroku.com/fics/1464", "Return to Sender Vol. 2")</f>
        <v>Return to Sender Vol. 2</v>
      </c>
      <c r="C65" s="7" t="s">
        <v>54</v>
      </c>
      <c r="E65" s="7" t="s">
        <v>44</v>
      </c>
      <c r="F65" s="7" t="s">
        <v>52</v>
      </c>
      <c r="H65" s="8" t="s">
        <v>126</v>
      </c>
      <c r="I65" s="6" t="str">
        <f>HYPERLINK("https://archive.ph/o/kCXAs/https://web-beta.archive.org/web/20130315140312/http://clopfic.heroku.com/authors/1587", "Verdict")</f>
        <v>Verdict</v>
      </c>
      <c r="J65" s="7" t="s">
        <v>39</v>
      </c>
      <c r="K65" s="7" t="s">
        <v>49</v>
      </c>
      <c r="L65" s="7" t="s">
        <v>62</v>
      </c>
      <c r="M65" s="7" t="s">
        <v>56</v>
      </c>
      <c r="N65" s="7" t="s">
        <v>47</v>
      </c>
      <c r="O65" s="7" t="s">
        <v>51</v>
      </c>
      <c r="Q65" s="7" t="s">
        <v>65</v>
      </c>
      <c r="AF65" s="7" t="s">
        <v>41</v>
      </c>
      <c r="AG65" s="9">
        <v>41178.0</v>
      </c>
      <c r="AH65" s="9">
        <v>41178.0</v>
      </c>
    </row>
    <row r="66">
      <c r="A66" s="6" t="str">
        <f>HYPERLINK("https://archive.ph/o/kCXAs/https://web-beta.archive.org/web/20130315140312/http://clopfic.heroku.com/fics/846", "Embezzlement")</f>
        <v>Embezzlement</v>
      </c>
      <c r="H66" s="8" t="s">
        <v>127</v>
      </c>
      <c r="I66" s="6" t="str">
        <f>HYPERLINK("https://archive.ph/o/kCXAs/https://web-beta.archive.org/web/20130315140312/http://clopfic.heroku.com/authors/567", "Ruxen")</f>
        <v>Ruxen</v>
      </c>
      <c r="Z66" s="7" t="s">
        <v>40</v>
      </c>
      <c r="AE66" s="7" t="s">
        <v>43</v>
      </c>
      <c r="AG66" s="9">
        <v>40970.0</v>
      </c>
      <c r="AH66" s="9">
        <v>41176.0</v>
      </c>
    </row>
    <row r="67">
      <c r="A67" s="6" t="str">
        <f>HYPERLINK("https://archive.ph/o/kCXAs/https://web-beta.archive.org/web/20130315140312/http://clopfic.heroku.com/fics/1459", "Friendship is Magic...With Benefits")</f>
        <v>Friendship is Magic...With Benefits</v>
      </c>
      <c r="E67" s="7" t="s">
        <v>44</v>
      </c>
      <c r="F67" s="7" t="s">
        <v>52</v>
      </c>
      <c r="H67" s="8" t="s">
        <v>128</v>
      </c>
      <c r="I67" s="6" t="str">
        <f>HYPERLINK("https://archive.ph/o/kCXAs/https://web-beta.archive.org/web/20130315140312/http://clopfic.heroku.com/authors/1577", "That_One_Brony")</f>
        <v>That_One_Brony</v>
      </c>
      <c r="J67" s="7" t="s">
        <v>39</v>
      </c>
      <c r="N67" s="7" t="s">
        <v>47</v>
      </c>
      <c r="AG67" s="9">
        <v>41176.0</v>
      </c>
      <c r="AH67" s="9">
        <v>41176.0</v>
      </c>
    </row>
    <row r="68">
      <c r="A68" s="6" t="str">
        <f>HYPERLINK("https://archive.ph/o/kCXAs/https://web-beta.archive.org/web/20130315140312/http://clopfic.heroku.com/fics/1458", "Sonic Raingasm")</f>
        <v>Sonic Raingasm</v>
      </c>
      <c r="E68" s="7" t="s">
        <v>44</v>
      </c>
      <c r="H68" s="8" t="s">
        <v>129</v>
      </c>
      <c r="I68" s="6" t="str">
        <f>HYPERLINK("https://archive.ph/o/kCXAs/https://web-beta.archive.org/web/20130315140312/http://clopfic.heroku.com/authors/562", "WhatTheFap")</f>
        <v>WhatTheFap</v>
      </c>
      <c r="J68" s="7" t="s">
        <v>39</v>
      </c>
      <c r="K68" s="7" t="s">
        <v>49</v>
      </c>
      <c r="L68" s="7" t="s">
        <v>62</v>
      </c>
      <c r="M68" s="7" t="s">
        <v>56</v>
      </c>
      <c r="N68" s="7" t="s">
        <v>47</v>
      </c>
      <c r="O68" s="7" t="s">
        <v>51</v>
      </c>
      <c r="P68" s="7" t="s">
        <v>64</v>
      </c>
      <c r="R68" s="7" t="s">
        <v>66</v>
      </c>
      <c r="Z68" s="7" t="s">
        <v>40</v>
      </c>
      <c r="AE68" s="7" t="s">
        <v>43</v>
      </c>
      <c r="AG68" s="9">
        <v>41176.0</v>
      </c>
      <c r="AH68" s="9">
        <v>41176.0</v>
      </c>
    </row>
    <row r="69">
      <c r="A69" s="6" t="str">
        <f>HYPERLINK("https://archive.ph/o/kCXAs/https://web-beta.archive.org/web/20130315140312/http://clopfic.heroku.com/fics/1422", "Older Mares")</f>
        <v>Older Mares</v>
      </c>
      <c r="E69" s="7" t="s">
        <v>44</v>
      </c>
      <c r="H69" s="8" t="s">
        <v>130</v>
      </c>
      <c r="I69" s="6" t="str">
        <f>HYPERLINK("https://archive.ph/o/kCXAs/https://web-beta.archive.org/web/20130315140312/http://clopfic.heroku.com/authors/784", "Mr. Unsmiley")</f>
        <v>Mr. Unsmiley</v>
      </c>
      <c r="Q69" s="7" t="s">
        <v>65</v>
      </c>
      <c r="Z69" s="7" t="s">
        <v>40</v>
      </c>
      <c r="AE69" s="7" t="s">
        <v>43</v>
      </c>
      <c r="AG69" s="9">
        <v>41158.0</v>
      </c>
      <c r="AH69" s="9">
        <v>41176.0</v>
      </c>
    </row>
    <row r="70">
      <c r="A70" s="6" t="str">
        <f>HYPERLINK("https://archive.ph/o/kCXAs/https://web-beta.archive.org/web/20130315140312/http://clopfic.heroku.com/fics/869", "Tears of ecstasy")</f>
        <v>Tears of ecstasy</v>
      </c>
      <c r="B70" s="7" t="s">
        <v>36</v>
      </c>
      <c r="D70" s="7" t="s">
        <v>37</v>
      </c>
      <c r="E70" s="7" t="s">
        <v>44</v>
      </c>
      <c r="F70" s="7" t="s">
        <v>52</v>
      </c>
      <c r="H70" s="8" t="s">
        <v>131</v>
      </c>
      <c r="I70" s="6" t="str">
        <f>HYPERLINK("https://archive.ph/o/kCXAs/https://web-beta.archive.org/web/20130315140312/http://clopfic.heroku.com/authors/568", "SoulHook")</f>
        <v>SoulHook</v>
      </c>
      <c r="Z70" s="7" t="s">
        <v>40</v>
      </c>
      <c r="AB70" s="7" t="s">
        <v>101</v>
      </c>
      <c r="AC70" s="7" t="s">
        <v>102</v>
      </c>
      <c r="AE70" s="7" t="s">
        <v>43</v>
      </c>
      <c r="AF70" s="7" t="s">
        <v>41</v>
      </c>
      <c r="AG70" s="9">
        <v>40979.0</v>
      </c>
      <c r="AH70" s="9">
        <v>41175.0</v>
      </c>
    </row>
    <row r="71">
      <c r="A71" s="6" t="str">
        <f>HYPERLINK("https://archive.ph/o/kCXAs/https://web-beta.archive.org/web/20130315140312/http://clopfic.heroku.com/fics/1457", "Quickfics and Assorted Boners")</f>
        <v>Quickfics and Assorted Boners</v>
      </c>
      <c r="D71" s="7" t="s">
        <v>37</v>
      </c>
      <c r="F71" s="7" t="s">
        <v>52</v>
      </c>
      <c r="H71" s="8" t="s">
        <v>132</v>
      </c>
      <c r="I71" s="6" t="str">
        <f>HYPERLINK("https://archive.ph/o/kCXAs/https://web-beta.archive.org/web/20130315140312/http://clopfic.heroku.com/authors/675", "darf")</f>
        <v>darf</v>
      </c>
      <c r="O71" s="7" t="s">
        <v>51</v>
      </c>
      <c r="W71" s="7" t="s">
        <v>69</v>
      </c>
      <c r="AG71" s="9">
        <v>41175.0</v>
      </c>
      <c r="AH71" s="9">
        <v>41175.0</v>
      </c>
    </row>
    <row r="72">
      <c r="A72" s="6" t="str">
        <f>HYPERLINK("https://archive.ph/o/kCXAs/https://web-beta.archive.org/web/20130315140312/http://clopfic.heroku.com/fics/429", "My Little Pony: Friendship is Sexy")</f>
        <v>My Little Pony: Friendship is Sexy</v>
      </c>
      <c r="D72" s="7" t="s">
        <v>37</v>
      </c>
      <c r="H72" s="8" t="s">
        <v>133</v>
      </c>
      <c r="I72" s="6" t="str">
        <f>HYPERLINK("https://archive.ph/o/kCXAs/https://web-beta.archive.org/web/20130315140312/http://clopfic.heroku.com/authors/1576", "Punjoke")</f>
        <v>Punjoke</v>
      </c>
      <c r="J72" s="7" t="s">
        <v>39</v>
      </c>
      <c r="K72" s="7" t="s">
        <v>49</v>
      </c>
      <c r="L72" s="7" t="s">
        <v>62</v>
      </c>
      <c r="M72" s="7" t="s">
        <v>56</v>
      </c>
      <c r="N72" s="7" t="s">
        <v>47</v>
      </c>
      <c r="O72" s="7" t="s">
        <v>51</v>
      </c>
      <c r="R72" s="7" t="s">
        <v>66</v>
      </c>
      <c r="S72" s="7" t="s">
        <v>68</v>
      </c>
      <c r="U72" s="7" t="s">
        <v>60</v>
      </c>
      <c r="V72" s="7" t="s">
        <v>71</v>
      </c>
      <c r="Z72" s="7" t="s">
        <v>40</v>
      </c>
      <c r="AE72" s="7" t="s">
        <v>43</v>
      </c>
      <c r="AG72" s="9">
        <v>40552.0</v>
      </c>
      <c r="AH72" s="9">
        <v>41175.0</v>
      </c>
    </row>
    <row r="73">
      <c r="A73" s="6" t="str">
        <f>HYPERLINK("https://archive.ph/o/kCXAs/https://web-beta.archive.org/web/20130315140312/http://clopfic.heroku.com/fics/1456", "Fluttershy femdom")</f>
        <v>Fluttershy femdom</v>
      </c>
      <c r="C73" s="7" t="s">
        <v>54</v>
      </c>
      <c r="D73" s="7" t="s">
        <v>37</v>
      </c>
      <c r="H73" s="8" t="s">
        <v>134</v>
      </c>
      <c r="I73" s="6" t="str">
        <f t="shared" ref="I73:I77" si="3">HYPERLINK("https://archive.ph/o/kCXAs/https://web-beta.archive.org/web/20130315140312/http://clopfic.heroku.com/authors/1567", "GypsyMagic")</f>
        <v>GypsyMagic</v>
      </c>
      <c r="O73" s="7" t="s">
        <v>51</v>
      </c>
      <c r="AG73" s="9">
        <v>41175.0</v>
      </c>
      <c r="AH73" s="9">
        <v>41175.0</v>
      </c>
    </row>
    <row r="74">
      <c r="A74" s="6" t="str">
        <f>HYPERLINK("https://archive.ph/o/kCXAs/https://web-beta.archive.org/web/20130315140312/http://clopfic.heroku.com/fics/1455", "Fluttershy ass worship")</f>
        <v>Fluttershy ass worship</v>
      </c>
      <c r="C74" s="7" t="s">
        <v>54</v>
      </c>
      <c r="D74" s="7" t="s">
        <v>37</v>
      </c>
      <c r="H74" s="8" t="s">
        <v>135</v>
      </c>
      <c r="I74" s="6" t="str">
        <f t="shared" si="3"/>
        <v>GypsyMagic</v>
      </c>
      <c r="O74" s="7" t="s">
        <v>51</v>
      </c>
      <c r="AG74" s="9">
        <v>41175.0</v>
      </c>
      <c r="AH74" s="9">
        <v>41175.0</v>
      </c>
    </row>
    <row r="75">
      <c r="A75" s="6" t="str">
        <f>HYPERLINK("https://archive.ph/o/kCXAs/https://web-beta.archive.org/web/20130315140312/http://clopfic.heroku.com/fics/1454", "Cooking Lesson")</f>
        <v>Cooking Lesson</v>
      </c>
      <c r="E75" s="7" t="s">
        <v>44</v>
      </c>
      <c r="H75" s="8" t="s">
        <v>136</v>
      </c>
      <c r="I75" s="6" t="str">
        <f t="shared" si="3"/>
        <v>GypsyMagic</v>
      </c>
      <c r="Z75" s="7" t="s">
        <v>40</v>
      </c>
      <c r="AE75" s="7" t="s">
        <v>43</v>
      </c>
      <c r="AG75" s="9">
        <v>41175.0</v>
      </c>
      <c r="AH75" s="9">
        <v>41175.0</v>
      </c>
    </row>
    <row r="76">
      <c r="A76" s="6" t="str">
        <f>HYPERLINK("https://archive.ph/o/kCXAs/https://web-beta.archive.org/web/20130315140312/http://clopfic.heroku.com/fics/1453", "Cheerimac cum inflation")</f>
        <v>Cheerimac cum inflation</v>
      </c>
      <c r="D76" s="7" t="s">
        <v>37</v>
      </c>
      <c r="H76" s="8" t="s">
        <v>137</v>
      </c>
      <c r="I76" s="6" t="str">
        <f t="shared" si="3"/>
        <v>GypsyMagic</v>
      </c>
      <c r="V76" s="7" t="s">
        <v>71</v>
      </c>
      <c r="Z76" s="7" t="s">
        <v>40</v>
      </c>
      <c r="AD76" s="7" t="s">
        <v>111</v>
      </c>
      <c r="AG76" s="9">
        <v>41175.0</v>
      </c>
      <c r="AH76" s="9">
        <v>41175.0</v>
      </c>
    </row>
    <row r="77">
      <c r="A77" s="6" t="str">
        <f>HYPERLINK("https://archive.ph/o/kCXAs/https://web-beta.archive.org/web/20130315140312/http://clopfic.heroku.com/fics/1452", "Applejack ass worship")</f>
        <v>Applejack ass worship</v>
      </c>
      <c r="C77" s="7" t="s">
        <v>54</v>
      </c>
      <c r="D77" s="7" t="s">
        <v>37</v>
      </c>
      <c r="H77" s="8" t="s">
        <v>138</v>
      </c>
      <c r="I77" s="6" t="str">
        <f t="shared" si="3"/>
        <v>GypsyMagic</v>
      </c>
      <c r="L77" s="7" t="s">
        <v>62</v>
      </c>
      <c r="AG77" s="9">
        <v>41175.0</v>
      </c>
      <c r="AH77" s="9">
        <v>41175.0</v>
      </c>
    </row>
    <row r="78">
      <c r="A78" s="6" t="str">
        <f>HYPERLINK("https://archive.ph/o/kCXAs/https://web-beta.archive.org/web/20130315140312/http://clopfic.heroku.com/fics/1451", "Who Rules?: Travels and Travesties")</f>
        <v>Who Rules?: Travels and Travesties</v>
      </c>
      <c r="D78" s="7" t="s">
        <v>37</v>
      </c>
      <c r="E78" s="7" t="s">
        <v>44</v>
      </c>
      <c r="F78" s="7" t="s">
        <v>52</v>
      </c>
      <c r="H78" s="8" t="s">
        <v>139</v>
      </c>
      <c r="I78" s="6" t="str">
        <f>HYPERLINK("https://archive.ph/o/kCXAs/https://web-beta.archive.org/web/20130315140312/http://clopfic.heroku.com/authors/634", "Nom deCheval")</f>
        <v>Nom deCheval</v>
      </c>
      <c r="J78" s="7" t="s">
        <v>39</v>
      </c>
      <c r="P78" s="7" t="s">
        <v>64</v>
      </c>
      <c r="Q78" s="7" t="s">
        <v>65</v>
      </c>
      <c r="Z78" s="7" t="s">
        <v>40</v>
      </c>
      <c r="AE78" s="7" t="s">
        <v>43</v>
      </c>
      <c r="AF78" s="7" t="s">
        <v>41</v>
      </c>
      <c r="AG78" s="9">
        <v>41175.0</v>
      </c>
      <c r="AH78" s="9">
        <v>41175.0</v>
      </c>
    </row>
    <row r="79">
      <c r="A79" s="6" t="str">
        <f>HYPERLINK("https://archive.ph/o/kCXAs/https://web-beta.archive.org/web/20130315140312/http://clopfic.heroku.com/fics/1446", "Eating Diamonds")</f>
        <v>Eating Diamonds</v>
      </c>
      <c r="B79" s="7" t="s">
        <v>36</v>
      </c>
      <c r="C79" s="7" t="s">
        <v>54</v>
      </c>
      <c r="H79" s="8" t="s">
        <v>140</v>
      </c>
      <c r="I79" s="6" t="str">
        <f t="shared" ref="I79:I80" si="4">HYPERLINK("https://archive.ph/o/kCXAs/https://web-beta.archive.org/web/20130315140312/http://clopfic.heroku.com/authors/1605", "Unidentified20XD6")</f>
        <v>Unidentified20XD6</v>
      </c>
      <c r="N79" s="7" t="s">
        <v>47</v>
      </c>
      <c r="Z79" s="7" t="s">
        <v>40</v>
      </c>
      <c r="AF79" s="7" t="s">
        <v>41</v>
      </c>
      <c r="AG79" s="9">
        <v>41173.0</v>
      </c>
      <c r="AH79" s="9">
        <v>41173.0</v>
      </c>
    </row>
    <row r="80">
      <c r="A80" s="6" t="str">
        <f>HYPERLINK("https://archive.ph/o/kCXAs/https://web-beta.archive.org/web/20130315140312/http://clopfic.heroku.com/fics/1447", "Melting Diamonds")</f>
        <v>Melting Diamonds</v>
      </c>
      <c r="B80" s="7" t="s">
        <v>36</v>
      </c>
      <c r="C80" s="7" t="s">
        <v>54</v>
      </c>
      <c r="H80" s="8" t="s">
        <v>141</v>
      </c>
      <c r="I80" s="6" t="str">
        <f t="shared" si="4"/>
        <v>Unidentified20XD6</v>
      </c>
      <c r="N80" s="7" t="s">
        <v>47</v>
      </c>
      <c r="Z80" s="7" t="s">
        <v>40</v>
      </c>
      <c r="AF80" s="7" t="s">
        <v>41</v>
      </c>
      <c r="AG80" s="9">
        <v>41173.0</v>
      </c>
      <c r="AH80" s="9">
        <v>41173.0</v>
      </c>
    </row>
    <row r="81">
      <c r="A81" s="6" t="str">
        <f>HYPERLINK("https://archive.ph/o/kCXAs/https://web-beta.archive.org/web/20130315140312/http://clopfic.heroku.com/fics/1448", "Other Kind")</f>
        <v>Other Kind</v>
      </c>
      <c r="E81" s="7" t="s">
        <v>44</v>
      </c>
      <c r="H81" s="8" t="s">
        <v>142</v>
      </c>
      <c r="I81" s="6" t="str">
        <f>HYPERLINK("https://archive.ph/o/kCXAs/https://web-beta.archive.org/web/20130315140312/http://clopfic.heroku.com/authors/656", "ponyaddict")</f>
        <v>ponyaddict</v>
      </c>
      <c r="Z81" s="7" t="s">
        <v>40</v>
      </c>
      <c r="AF81" s="7" t="s">
        <v>41</v>
      </c>
      <c r="AG81" s="9">
        <v>41173.0</v>
      </c>
      <c r="AH81" s="9">
        <v>41173.0</v>
      </c>
    </row>
    <row r="82">
      <c r="A82" s="6" t="str">
        <f>HYPERLINK("https://archive.ph/o/kCXAs/https://web-beta.archive.org/web/20130315140312/http://clopfic.heroku.com/fics/1444", "Trix Tix")</f>
        <v>Trix Tix</v>
      </c>
      <c r="D82" s="7" t="s">
        <v>37</v>
      </c>
      <c r="E82" s="7" t="s">
        <v>44</v>
      </c>
      <c r="H82" s="8" t="s">
        <v>143</v>
      </c>
      <c r="I82" s="6" t="str">
        <f>HYPERLINK("https://archive.ph/o/kCXAs/https://web-beta.archive.org/web/20130315140312/http://clopfic.heroku.com/authors/1520", "Kody910")</f>
        <v>Kody910</v>
      </c>
      <c r="W82" s="7" t="s">
        <v>69</v>
      </c>
      <c r="Z82" s="7" t="s">
        <v>40</v>
      </c>
      <c r="AF82" s="7" t="s">
        <v>41</v>
      </c>
      <c r="AG82" s="9">
        <v>41172.0</v>
      </c>
      <c r="AH82" s="9">
        <v>41172.0</v>
      </c>
    </row>
    <row r="83">
      <c r="A83" s="6" t="str">
        <f>HYPERLINK("https://archive.ph/o/kCXAs/https://web-beta.archive.org/web/20130315140312/http://clopfic.heroku.com/fics/1443", "Flutter-size")</f>
        <v>Flutter-size</v>
      </c>
      <c r="C83" s="7" t="s">
        <v>54</v>
      </c>
      <c r="D83" s="7" t="s">
        <v>37</v>
      </c>
      <c r="E83" s="7" t="s">
        <v>44</v>
      </c>
      <c r="G83" s="7" t="s">
        <v>75</v>
      </c>
      <c r="H83" s="8" t="s">
        <v>144</v>
      </c>
      <c r="I83" s="6" t="str">
        <f>HYPERLINK("https://archive.ph/o/kCXAs/https://web-beta.archive.org/web/20130315140312/http://clopfic.heroku.com/authors/1430", "Whirring Gears")</f>
        <v>Whirring Gears</v>
      </c>
      <c r="O83" s="7" t="s">
        <v>51</v>
      </c>
      <c r="AF83" s="7" t="s">
        <v>41</v>
      </c>
      <c r="AG83" s="9">
        <v>41172.0</v>
      </c>
      <c r="AH83" s="9">
        <v>41172.0</v>
      </c>
    </row>
    <row r="84">
      <c r="A84" s="6" t="str">
        <f>HYPERLINK("https://archive.ph/o/kCXAs/https://web-beta.archive.org/web/20130315140312/http://clopfic.heroku.com/fics/1441", "Blooming Heat")</f>
        <v>Blooming Heat</v>
      </c>
      <c r="H84" s="8" t="s">
        <v>145</v>
      </c>
      <c r="I84" s="6" t="str">
        <f>HYPERLINK("https://archive.ph/o/kCXAs/https://web-beta.archive.org/web/20130315140312/http://clopfic.heroku.com/authors/1514", "AngelShy24")</f>
        <v>AngelShy24</v>
      </c>
      <c r="R84" s="7" t="s">
        <v>66</v>
      </c>
      <c r="S84" s="7" t="s">
        <v>68</v>
      </c>
      <c r="AG84" s="9">
        <v>41172.0</v>
      </c>
      <c r="AH84" s="9">
        <v>41172.0</v>
      </c>
    </row>
    <row r="85">
      <c r="A85" s="6" t="str">
        <f>HYPERLINK("https://archive.ph/o/kCXAs/https://web-beta.archive.org/web/20130315140312/http://clopfic.heroku.com/fics/1233", "Good Luck Better Circumstance")</f>
        <v>Good Luck Better Circumstance</v>
      </c>
      <c r="C85" s="7" t="s">
        <v>54</v>
      </c>
      <c r="D85" s="7" t="s">
        <v>37</v>
      </c>
      <c r="E85" s="7" t="s">
        <v>44</v>
      </c>
      <c r="F85" s="7" t="s">
        <v>52</v>
      </c>
      <c r="H85" s="8" t="s">
        <v>146</v>
      </c>
      <c r="I85" s="6" t="str">
        <f>HYPERLINK("https://archive.ph/o/kCXAs/https://web-beta.archive.org/web/20130315140312/http://clopfic.heroku.com/authors/1173", "Firefox69")</f>
        <v>Firefox69</v>
      </c>
      <c r="J85" s="7" t="s">
        <v>39</v>
      </c>
      <c r="R85" s="7" t="s">
        <v>66</v>
      </c>
      <c r="S85" s="7" t="s">
        <v>68</v>
      </c>
      <c r="T85" s="7" t="s">
        <v>59</v>
      </c>
      <c r="U85" s="7" t="s">
        <v>60</v>
      </c>
      <c r="Z85" s="7" t="s">
        <v>40</v>
      </c>
      <c r="AF85" s="7" t="s">
        <v>41</v>
      </c>
      <c r="AG85" s="9">
        <v>41089.0</v>
      </c>
      <c r="AH85" s="9">
        <v>41172.0</v>
      </c>
    </row>
    <row r="86">
      <c r="A86" s="6" t="str">
        <f>HYPERLINK("https://archive.ph/o/kCXAs/https://web-beta.archive.org/web/20130315140312/http://clopfic.heroku.com/fics/1440", "Luna")</f>
        <v>Luna</v>
      </c>
      <c r="D86" s="7" t="s">
        <v>37</v>
      </c>
      <c r="H86" s="8" t="s">
        <v>147</v>
      </c>
      <c r="I86" s="6" t="str">
        <f>HYPERLINK("https://archive.ph/o/kCXAs/https://web-beta.archive.org/web/20130315140312/http://clopfic.heroku.com/authors/104", "Soashamedpony")</f>
        <v>Soashamedpony</v>
      </c>
      <c r="Q86" s="7" t="s">
        <v>65</v>
      </c>
      <c r="Z86" s="7" t="s">
        <v>40</v>
      </c>
      <c r="AF86" s="7" t="s">
        <v>41</v>
      </c>
      <c r="AG86" s="9">
        <v>41171.0</v>
      </c>
      <c r="AH86" s="9">
        <v>41171.0</v>
      </c>
    </row>
    <row r="87">
      <c r="A87" s="6" t="str">
        <f>HYPERLINK("https://archive.ph/o/kCXAs/https://web-beta.archive.org/web/20130315140312/http://clopfic.heroku.com/fics/1439", "My Little Pony: Friendship is Fucking")</f>
        <v>My Little Pony: Friendship is Fucking</v>
      </c>
      <c r="E87" s="7" t="s">
        <v>44</v>
      </c>
      <c r="F87" s="7" t="s">
        <v>52</v>
      </c>
      <c r="H87" s="8" t="s">
        <v>148</v>
      </c>
      <c r="I87" s="6" t="str">
        <f>HYPERLINK("https://archive.ph/o/kCXAs/https://web-beta.archive.org/web/20130315140312/http://clopfic.heroku.com/authors/1513", "clayboy69")</f>
        <v>clayboy69</v>
      </c>
      <c r="J87" s="7" t="s">
        <v>39</v>
      </c>
      <c r="K87" s="7" t="s">
        <v>49</v>
      </c>
      <c r="L87" s="7" t="s">
        <v>62</v>
      </c>
      <c r="M87" s="7" t="s">
        <v>56</v>
      </c>
      <c r="O87" s="7" t="s">
        <v>51</v>
      </c>
      <c r="V87" s="7" t="s">
        <v>71</v>
      </c>
      <c r="Z87" s="7" t="s">
        <v>40</v>
      </c>
      <c r="AF87" s="7" t="s">
        <v>41</v>
      </c>
      <c r="AG87" s="9">
        <v>41171.0</v>
      </c>
      <c r="AH87" s="9">
        <v>41171.0</v>
      </c>
    </row>
    <row r="88">
      <c r="A88" s="6" t="str">
        <f>HYPERLINK("https://archive.ph/o/kCXAs/https://web-beta.archive.org/web/20130315140312/http://clopfic.heroku.com/fics/1438", "Very Generous")</f>
        <v>Very Generous</v>
      </c>
      <c r="D88" s="7" t="s">
        <v>37</v>
      </c>
      <c r="E88" s="7" t="s">
        <v>44</v>
      </c>
      <c r="H88" s="8" t="s">
        <v>149</v>
      </c>
      <c r="I88" s="6" t="str">
        <f>HYPERLINK("https://archive.ph/o/kCXAs/https://web-beta.archive.org/web/20130315140312/http://clopfic.heroku.com/authors/781", "Typewriterpony")</f>
        <v>Typewriterpony</v>
      </c>
      <c r="N88" s="7" t="s">
        <v>47</v>
      </c>
      <c r="R88" s="7" t="s">
        <v>66</v>
      </c>
      <c r="AG88" s="9">
        <v>41170.0</v>
      </c>
      <c r="AH88" s="9">
        <v>41170.0</v>
      </c>
    </row>
    <row r="89">
      <c r="A89" s="6" t="str">
        <f>HYPERLINK("https://archive.ph/o/kCXAs/https://web-beta.archive.org/web/20130315140312/http://clopfic.heroku.com/fics/1437", "Spying")</f>
        <v>Spying</v>
      </c>
      <c r="H89" s="8" t="s">
        <v>150</v>
      </c>
      <c r="I89" s="6" t="str">
        <f>HYPERLINK("https://archive.ph/o/kCXAs/https://web-beta.archive.org/web/20130315140312/http://clopfic.heroku.com/authors/1462", "boomer30569")</f>
        <v>boomer30569</v>
      </c>
      <c r="AE89" s="7" t="s">
        <v>43</v>
      </c>
      <c r="AG89" s="9">
        <v>41170.0</v>
      </c>
      <c r="AH89" s="9">
        <v>41170.0</v>
      </c>
    </row>
    <row r="90">
      <c r="A90" s="6" t="str">
        <f>HYPERLINK("https://archive.ph/o/kCXAs/https://web-beta.archive.org/web/20130315140312/http://clopfic.heroku.com/fics/1436", "Twilight's Sex Studies")</f>
        <v>Twilight's Sex Studies</v>
      </c>
      <c r="H90" s="8" t="s">
        <v>151</v>
      </c>
      <c r="I90" s="6" t="str">
        <f>HYPERLINK("https://archive.ph/o/kCXAs/https://web-beta.archive.org/web/20130315140312/http://clopfic.heroku.com/authors/235", "Nostalgia Schmaltz")</f>
        <v>Nostalgia Schmaltz</v>
      </c>
      <c r="J90" s="7" t="s">
        <v>39</v>
      </c>
      <c r="Z90" s="7" t="s">
        <v>40</v>
      </c>
      <c r="AE90" s="7" t="s">
        <v>43</v>
      </c>
      <c r="AG90" s="9">
        <v>41169.0</v>
      </c>
      <c r="AH90" s="9">
        <v>41169.0</v>
      </c>
    </row>
    <row r="91">
      <c r="A91" s="6" t="str">
        <f>HYPERLINK("https://archive.ph/o/kCXAs/https://web-beta.archive.org/web/20130315140312/http://clopfic.heroku.com/fics/1435", "The Last Minute")</f>
        <v>The Last Minute</v>
      </c>
      <c r="E91" s="7" t="s">
        <v>44</v>
      </c>
      <c r="H91" s="8" t="s">
        <v>152</v>
      </c>
      <c r="I91" s="6" t="str">
        <f>HYPERLINK("https://archive.ph/o/kCXAs/https://web-beta.archive.org/web/20130315140312/http://clopfic.heroku.com/authors/760", "Twilightclopple")</f>
        <v>Twilightclopple</v>
      </c>
      <c r="AE91" s="7" t="s">
        <v>43</v>
      </c>
      <c r="AG91" s="9">
        <v>41168.0</v>
      </c>
      <c r="AH91" s="9">
        <v>41168.0</v>
      </c>
    </row>
    <row r="92">
      <c r="A92" s="6" t="str">
        <f>HYPERLINK("https://archive.ph/o/kCXAs/https://web-beta.archive.org/web/20130315140312/http://clopfic.heroku.com/fics/1297", "Lyra and Bon Bon's Off Jobs II: Frisky Fillies")</f>
        <v>Lyra and Bon Bon's Off Jobs II: Frisky Fillies</v>
      </c>
      <c r="D92" s="7" t="s">
        <v>37</v>
      </c>
      <c r="H92" s="8" t="s">
        <v>153</v>
      </c>
      <c r="I92" s="6" t="str">
        <f>HYPERLINK("https://archive.ph/o/kCXAs/https://web-beta.archive.org/web/20130315140312/http://clopfic.heroku.com/authors/1133", "Bronystories")</f>
        <v>Bronystories</v>
      </c>
      <c r="O92" s="7" t="s">
        <v>51</v>
      </c>
      <c r="Z92" s="7" t="s">
        <v>40</v>
      </c>
      <c r="AB92" s="7" t="s">
        <v>101</v>
      </c>
      <c r="AC92" s="7" t="s">
        <v>102</v>
      </c>
      <c r="AG92" s="9">
        <v>41117.0</v>
      </c>
      <c r="AH92" s="9">
        <v>41167.0</v>
      </c>
    </row>
    <row r="93">
      <c r="A93" s="6" t="str">
        <f>HYPERLINK("https://archive.ph/o/kCXAs/https://web-beta.archive.org/web/20130315140312/http://clopfic.heroku.com/fics/1434", "Don't Forget the Cream Filling")</f>
        <v>Don't Forget the Cream Filling</v>
      </c>
      <c r="E93" s="7" t="s">
        <v>44</v>
      </c>
      <c r="H93" s="8" t="s">
        <v>154</v>
      </c>
      <c r="I93" s="6" t="str">
        <f>HYPERLINK("https://archive.ph/o/kCXAs/https://web-beta.archive.org/web/20130315140312/http://clopfic.heroku.com/authors/860", "JujubeLand")</f>
        <v>JujubeLand</v>
      </c>
      <c r="K93" s="7" t="s">
        <v>49</v>
      </c>
      <c r="AE93" s="7" t="s">
        <v>43</v>
      </c>
      <c r="AG93" s="9">
        <v>41167.0</v>
      </c>
      <c r="AH93" s="9">
        <v>41167.0</v>
      </c>
    </row>
    <row r="94">
      <c r="A94" s="6" t="str">
        <f>HYPERLINK("https://archive.ph/o/kCXAs/https://web-beta.archive.org/web/20130315140312/http://clopfic.heroku.com/fics/1299", "The Dark Apprentice")</f>
        <v>The Dark Apprentice</v>
      </c>
      <c r="D94" s="7" t="s">
        <v>37</v>
      </c>
      <c r="E94" s="7" t="s">
        <v>44</v>
      </c>
      <c r="F94" s="7" t="s">
        <v>52</v>
      </c>
      <c r="H94" s="8" t="s">
        <v>155</v>
      </c>
      <c r="I94" s="6" t="str">
        <f>HYPERLINK("https://archive.ph/o/kCXAs/https://web-beta.archive.org/web/20130315140312/http://clopfic.heroku.com/authors/642", "Come Hither")</f>
        <v>Come Hither</v>
      </c>
      <c r="J94" s="7" t="s">
        <v>39</v>
      </c>
      <c r="P94" s="7" t="s">
        <v>64</v>
      </c>
      <c r="Q94" s="7" t="s">
        <v>65</v>
      </c>
      <c r="AG94" s="9">
        <v>41118.0</v>
      </c>
      <c r="AH94" s="9">
        <v>41166.0</v>
      </c>
    </row>
    <row r="95">
      <c r="A95" s="6" t="str">
        <f>HYPERLINK("https://archive.ph/o/kCXAs/https://web-beta.archive.org/web/20130315140312/http://clopfic.heroku.com/fics/1433", "Cadance Rising")</f>
        <v>Cadance Rising</v>
      </c>
      <c r="F95" s="7" t="s">
        <v>52</v>
      </c>
      <c r="H95" s="8" t="s">
        <v>156</v>
      </c>
      <c r="I95" s="6" t="str">
        <f>HYPERLINK("https://archive.ph/o/kCXAs/https://web-beta.archive.org/web/20130315140312/http://clopfic.heroku.com/authors/1184", "In_The_Sun")</f>
        <v>In_The_Sun</v>
      </c>
      <c r="J95" s="7" t="s">
        <v>39</v>
      </c>
      <c r="P95" s="7" t="s">
        <v>64</v>
      </c>
      <c r="Q95" s="7" t="s">
        <v>65</v>
      </c>
      <c r="Z95" s="7" t="s">
        <v>40</v>
      </c>
      <c r="AE95" s="7" t="s">
        <v>43</v>
      </c>
      <c r="AG95" s="9">
        <v>41166.0</v>
      </c>
      <c r="AH95" s="9">
        <v>41166.0</v>
      </c>
    </row>
    <row r="96">
      <c r="A96" s="3" t="str">
        <f>HYPERLINK("https://archive.ph/o/kCXAs/https://web-beta.archive.org/web/20130315140312/http://clopfic.heroku.com/fics/1432", "TimeBomb's "Sexty Minute Ponies" Collection")</f>
        <v>#ERROR!</v>
      </c>
      <c r="D96" s="7" t="s">
        <v>37</v>
      </c>
      <c r="E96" s="7" t="s">
        <v>44</v>
      </c>
      <c r="G96" s="7" t="s">
        <v>75</v>
      </c>
      <c r="H96" s="8" t="s">
        <v>157</v>
      </c>
      <c r="I96" s="6" t="str">
        <f>HYPERLINK("https://archive.ph/o/kCXAs/https://web-beta.archive.org/web/20130315140312/http://clopfic.heroku.com/authors/570", "TimeBomb0")</f>
        <v>TimeBomb0</v>
      </c>
      <c r="J96" s="7" t="s">
        <v>39</v>
      </c>
      <c r="L96" s="7" t="s">
        <v>62</v>
      </c>
      <c r="N96" s="7" t="s">
        <v>47</v>
      </c>
      <c r="O96" s="7" t="s">
        <v>51</v>
      </c>
      <c r="X96" s="7" t="s">
        <v>107</v>
      </c>
      <c r="Z96" s="7" t="s">
        <v>40</v>
      </c>
      <c r="AE96" s="7" t="s">
        <v>43</v>
      </c>
      <c r="AG96" s="9">
        <v>41165.0</v>
      </c>
      <c r="AH96" s="9">
        <v>41165.0</v>
      </c>
    </row>
    <row r="97">
      <c r="A97" s="6" t="str">
        <f>HYPERLINK("https://archive.ph/o/kCXAs/https://web-beta.archive.org/web/20130315140312/http://clopfic.heroku.com/fics/1430", "My Sister and I")</f>
        <v>My Sister and I</v>
      </c>
      <c r="D97" s="7" t="s">
        <v>37</v>
      </c>
      <c r="E97" s="7" t="s">
        <v>44</v>
      </c>
      <c r="F97" s="7" t="s">
        <v>52</v>
      </c>
      <c r="H97" s="3"/>
      <c r="I97" s="6" t="str">
        <f>HYPERLINK("https://archive.ph/o/kCXAs/https://web-beta.archive.org/web/20130315140312/http://clopfic.heroku.com/authors/1505", "Dark Chiami")</f>
        <v>Dark Chiami</v>
      </c>
      <c r="Z97" s="7" t="s">
        <v>40</v>
      </c>
      <c r="AE97" s="7" t="s">
        <v>43</v>
      </c>
      <c r="AG97" s="9">
        <v>41164.0</v>
      </c>
      <c r="AH97" s="9">
        <v>41164.0</v>
      </c>
    </row>
    <row r="98">
      <c r="A98" s="6" t="str">
        <f>HYPERLINK("https://archive.ph/o/kCXAs/https://web-beta.archive.org/web/20130315140312/http://clopfic.heroku.com/fics/1276", "Vindicated Depravity")</f>
        <v>Vindicated Depravity</v>
      </c>
      <c r="D98" s="7" t="s">
        <v>37</v>
      </c>
      <c r="H98" s="8" t="s">
        <v>158</v>
      </c>
      <c r="I98" s="6" t="str">
        <f>HYPERLINK("https://archive.ph/o/kCXAs/https://web-beta.archive.org/web/20130315140312/http://clopfic.heroku.com/authors/681", "Anonymous Pegasus")</f>
        <v>Anonymous Pegasus</v>
      </c>
      <c r="J98" s="7" t="s">
        <v>39</v>
      </c>
      <c r="Z98" s="7" t="s">
        <v>40</v>
      </c>
      <c r="AE98" s="7" t="s">
        <v>43</v>
      </c>
      <c r="AG98" s="9">
        <v>41107.0</v>
      </c>
      <c r="AH98" s="9">
        <v>41163.0</v>
      </c>
    </row>
    <row r="99">
      <c r="A99" s="6" t="str">
        <f>HYPERLINK("https://archive.ph/o/kCXAs/https://web-beta.archive.org/web/20130315140312/http://clopfic.heroku.com/fics/1429", "Trixie's Magic Bit")</f>
        <v>Trixie's Magic Bit</v>
      </c>
      <c r="D99" s="7" t="s">
        <v>37</v>
      </c>
      <c r="E99" s="7" t="s">
        <v>44</v>
      </c>
      <c r="H99" s="8" t="s">
        <v>159</v>
      </c>
      <c r="I99" s="6" t="str">
        <f>HYPERLINK("https://archive.ph/o/kCXAs/https://web-beta.archive.org/web/20130315140312/http://clopfic.heroku.com/authors/1499", "Applejinx")</f>
        <v>Applejinx</v>
      </c>
      <c r="J99" s="7" t="s">
        <v>39</v>
      </c>
      <c r="K99" s="7" t="s">
        <v>49</v>
      </c>
      <c r="L99" s="7" t="s">
        <v>62</v>
      </c>
      <c r="M99" s="7" t="s">
        <v>56</v>
      </c>
      <c r="O99" s="7" t="s">
        <v>51</v>
      </c>
      <c r="W99" s="7" t="s">
        <v>69</v>
      </c>
      <c r="Z99" s="7" t="s">
        <v>40</v>
      </c>
      <c r="AB99" s="7" t="s">
        <v>101</v>
      </c>
      <c r="AC99" s="7" t="s">
        <v>102</v>
      </c>
      <c r="AG99" s="9">
        <v>41162.0</v>
      </c>
      <c r="AH99" s="9">
        <v>41162.0</v>
      </c>
    </row>
    <row r="100">
      <c r="A100" s="6" t="str">
        <f>HYPERLINK("https://archive.ph/o/kCXAs/https://web-beta.archive.org/web/20130315140312/http://clopfic.heroku.com/fics/1427", "The present special")</f>
        <v>The present special</v>
      </c>
      <c r="E100" s="7" t="s">
        <v>44</v>
      </c>
      <c r="H100" s="8" t="s">
        <v>160</v>
      </c>
      <c r="I100" s="6" t="str">
        <f>HYPERLINK("https://archive.ph/o/kCXAs/https://web-beta.archive.org/web/20130315140312/http://clopfic.heroku.com/authors/796", "Soul Hook")</f>
        <v>Soul Hook</v>
      </c>
      <c r="Z100" s="7" t="s">
        <v>40</v>
      </c>
      <c r="AE100" s="7" t="s">
        <v>43</v>
      </c>
      <c r="AF100" s="7" t="s">
        <v>41</v>
      </c>
      <c r="AG100" s="9">
        <v>41162.0</v>
      </c>
      <c r="AH100" s="9">
        <v>41162.0</v>
      </c>
    </row>
    <row r="101">
      <c r="A101" s="6" t="str">
        <f>HYPERLINK("https://archive.ph/o/kCXAs/https://web-beta.archive.org/web/20130315140312/http://clopfic.heroku.com/fics/1426", "Spike's Booming Love for Rarity")</f>
        <v>Spike's Booming Love for Rarity</v>
      </c>
      <c r="B101" s="7" t="s">
        <v>36</v>
      </c>
      <c r="H101" s="8" t="s">
        <v>161</v>
      </c>
      <c r="I101" s="6" t="str">
        <f>HYPERLINK("https://archive.ph/o/kCXAs/https://web-beta.archive.org/web/20130315140312/http://clopfic.heroku.com/authors/562", "WhatTheFap")</f>
        <v>WhatTheFap</v>
      </c>
      <c r="J101" s="7" t="s">
        <v>39</v>
      </c>
      <c r="N101" s="7" t="s">
        <v>47</v>
      </c>
      <c r="R101" s="7" t="s">
        <v>66</v>
      </c>
      <c r="Z101" s="7" t="s">
        <v>40</v>
      </c>
      <c r="AE101" s="7" t="s">
        <v>43</v>
      </c>
      <c r="AG101" s="9">
        <v>41162.0</v>
      </c>
      <c r="AH101" s="9">
        <v>41162.0</v>
      </c>
    </row>
    <row r="102">
      <c r="A102" s="6" t="str">
        <f>HYPERLINK("https://archive.ph/o/kCXAs/https://web-beta.archive.org/web/20130315140312/http://clopfic.heroku.com/fics/1092", "The Moaning Crown")</f>
        <v>The Moaning Crown</v>
      </c>
      <c r="B102" s="7" t="s">
        <v>36</v>
      </c>
      <c r="D102" s="7" t="s">
        <v>37</v>
      </c>
      <c r="F102" s="7" t="s">
        <v>52</v>
      </c>
      <c r="H102" s="8" t="s">
        <v>162</v>
      </c>
      <c r="I102" s="6" t="str">
        <f>HYPERLINK("https://archive.ph/o/kCXAs/https://web-beta.archive.org/web/20130315140312/http://clopfic.heroku.com/authors/814", "BlackSnowyOwl")</f>
        <v>BlackSnowyOwl</v>
      </c>
      <c r="J102" s="7" t="s">
        <v>39</v>
      </c>
      <c r="K102" s="7" t="s">
        <v>49</v>
      </c>
      <c r="M102" s="7" t="s">
        <v>56</v>
      </c>
      <c r="O102" s="7" t="s">
        <v>51</v>
      </c>
      <c r="Z102" s="7" t="s">
        <v>40</v>
      </c>
      <c r="AB102" s="7" t="s">
        <v>101</v>
      </c>
      <c r="AE102" s="7" t="s">
        <v>43</v>
      </c>
      <c r="AG102" s="9">
        <v>41049.0</v>
      </c>
      <c r="AH102" s="9">
        <v>41162.0</v>
      </c>
    </row>
    <row r="103">
      <c r="A103" s="6" t="str">
        <f>HYPERLINK("https://archive.ph/o/kCXAs/https://web-beta.archive.org/web/20130315140312/http://clopfic.heroku.com/fics/1180", "A Weekend Maid for Spike")</f>
        <v>A Weekend Maid for Spike</v>
      </c>
      <c r="D103" s="7" t="s">
        <v>37</v>
      </c>
      <c r="E103" s="7" t="s">
        <v>44</v>
      </c>
      <c r="F103" s="7" t="s">
        <v>52</v>
      </c>
      <c r="H103" s="8" t="s">
        <v>163</v>
      </c>
      <c r="I103" s="6" t="str">
        <f>HYPERLINK("https://archive.ph/o/kCXAs/https://web-beta.archive.org/web/20130315140312/http://clopfic.heroku.com/authors/947", "Path_of_Cloud")</f>
        <v>Path_of_Cloud</v>
      </c>
      <c r="N103" s="7" t="s">
        <v>47</v>
      </c>
      <c r="R103" s="7" t="s">
        <v>66</v>
      </c>
      <c r="AG103" s="9">
        <v>41075.0</v>
      </c>
      <c r="AH103" s="9">
        <v>41162.0</v>
      </c>
    </row>
    <row r="104">
      <c r="A104" s="6" t="str">
        <f>HYPERLINK("https://archive.ph/o/kCXAs/https://web-beta.archive.org/web/20130315140312/http://clopfic.heroku.com/fics/1425", "Dr. Dash's Home for the Sexually Abused")</f>
        <v>Dr. Dash's Home for the Sexually Abused</v>
      </c>
      <c r="B104" s="7" t="s">
        <v>36</v>
      </c>
      <c r="D104" s="7" t="s">
        <v>37</v>
      </c>
      <c r="E104" s="7" t="s">
        <v>44</v>
      </c>
      <c r="H104" s="8" t="s">
        <v>164</v>
      </c>
      <c r="I104" s="6" t="str">
        <f>HYPERLINK("https://archive.ph/o/kCXAs/https://web-beta.archive.org/web/20130315140312/http://clopfic.heroku.com/authors/1500", "Uncloppable")</f>
        <v>Uncloppable</v>
      </c>
      <c r="J104" s="7" t="s">
        <v>39</v>
      </c>
      <c r="M104" s="7" t="s">
        <v>56</v>
      </c>
      <c r="O104" s="7" t="s">
        <v>51</v>
      </c>
      <c r="T104" s="7" t="s">
        <v>59</v>
      </c>
      <c r="AF104" s="7" t="s">
        <v>41</v>
      </c>
      <c r="AG104" s="9">
        <v>41161.0</v>
      </c>
      <c r="AH104" s="9">
        <v>41161.0</v>
      </c>
    </row>
    <row r="105">
      <c r="A105" s="6" t="str">
        <f>HYPERLINK("https://archive.ph/o/kCXAs/https://web-beta.archive.org/web/20130315140312/http://clopfic.heroku.com/fics/1424", "How Does Your Garden Grow?")</f>
        <v>How Does Your Garden Grow?</v>
      </c>
      <c r="E105" s="7" t="s">
        <v>44</v>
      </c>
      <c r="G105" s="7" t="s">
        <v>75</v>
      </c>
      <c r="H105" s="8" t="s">
        <v>165</v>
      </c>
      <c r="I105" s="6" t="str">
        <f t="shared" ref="I105:I106" si="5">HYPERLINK("https://archive.ph/o/kCXAs/https://web-beta.archive.org/web/20130315140312/http://clopfic.heroku.com/authors/1499", "Applejinx")</f>
        <v>Applejinx</v>
      </c>
      <c r="V105" s="7" t="s">
        <v>71</v>
      </c>
      <c r="AG105" s="9">
        <v>41161.0</v>
      </c>
      <c r="AH105" s="9">
        <v>41161.0</v>
      </c>
    </row>
    <row r="106">
      <c r="A106" s="6" t="str">
        <f>HYPERLINK("https://archive.ph/o/kCXAs/https://web-beta.archive.org/web/20130315140312/http://clopfic.heroku.com/fics/1423", "Fire Under The Sun")</f>
        <v>Fire Under The Sun</v>
      </c>
      <c r="D106" s="7" t="s">
        <v>37</v>
      </c>
      <c r="H106" s="8" t="s">
        <v>166</v>
      </c>
      <c r="I106" s="6" t="str">
        <f t="shared" si="5"/>
        <v>Applejinx</v>
      </c>
      <c r="K106" s="7" t="s">
        <v>49</v>
      </c>
      <c r="N106" s="7" t="s">
        <v>47</v>
      </c>
      <c r="AG106" s="9">
        <v>41161.0</v>
      </c>
      <c r="AH106" s="9">
        <v>41161.0</v>
      </c>
    </row>
    <row r="107">
      <c r="A107" s="6" t="str">
        <f>HYPERLINK("https://archive.ph/o/kCXAs/https://web-beta.archive.org/web/20130315140312/http://clopfic.heroku.com/fics/966", "Spike's Luck")</f>
        <v>Spike's Luck</v>
      </c>
      <c r="H107" s="3"/>
      <c r="I107" s="6" t="str">
        <f>HYPERLINK("https://archive.ph/o/kCXAs/https://web-beta.archive.org/web/20130315140312/http://clopfic.heroku.com/authors/1498", "mr-brass-man")</f>
        <v>mr-brass-man</v>
      </c>
      <c r="R107" s="7" t="s">
        <v>66</v>
      </c>
      <c r="Z107" s="7" t="s">
        <v>40</v>
      </c>
      <c r="AE107" s="7" t="s">
        <v>43</v>
      </c>
      <c r="AG107" s="9">
        <v>41010.0</v>
      </c>
      <c r="AH107" s="9">
        <v>41161.0</v>
      </c>
    </row>
    <row r="108">
      <c r="A108" s="6" t="str">
        <f>HYPERLINK("https://archive.ph/o/kCXAs/https://web-beta.archive.org/web/20130315140312/http://clopfic.heroku.com/fics/817", "Fluttershy's Week-long Foot-long")</f>
        <v>Fluttershy's Week-long Foot-long</v>
      </c>
      <c r="D108" s="7" t="s">
        <v>37</v>
      </c>
      <c r="F108" s="7" t="s">
        <v>52</v>
      </c>
      <c r="H108" s="8" t="s">
        <v>167</v>
      </c>
      <c r="I108" s="6" t="str">
        <f>HYPERLINK("https://archive.ph/o/kCXAs/https://web-beta.archive.org/web/20130315140312/http://clopfic.heroku.com/authors/235", "Nostalgia Schmaltz")</f>
        <v>Nostalgia Schmaltz</v>
      </c>
      <c r="J108" s="7" t="s">
        <v>39</v>
      </c>
      <c r="K108" s="7" t="s">
        <v>49</v>
      </c>
      <c r="L108" s="7" t="s">
        <v>62</v>
      </c>
      <c r="M108" s="7" t="s">
        <v>56</v>
      </c>
      <c r="N108" s="7" t="s">
        <v>47</v>
      </c>
      <c r="O108" s="7" t="s">
        <v>51</v>
      </c>
      <c r="P108" s="7" t="s">
        <v>64</v>
      </c>
      <c r="Q108" s="7" t="s">
        <v>65</v>
      </c>
      <c r="V108" s="7" t="s">
        <v>71</v>
      </c>
      <c r="X108" s="7" t="s">
        <v>107</v>
      </c>
      <c r="Z108" s="7" t="s">
        <v>40</v>
      </c>
      <c r="AD108" s="7" t="s">
        <v>111</v>
      </c>
      <c r="AE108" s="7" t="s">
        <v>43</v>
      </c>
      <c r="AG108" s="9">
        <v>40963.0</v>
      </c>
      <c r="AH108" s="9">
        <v>41160.0</v>
      </c>
    </row>
    <row r="109">
      <c r="A109" s="6" t="str">
        <f>HYPERLINK("https://archive.ph/o/kCXAs/https://web-beta.archive.org/web/20130315140312/http://clopfic.heroku.com/fics/1343", "Pony Shipping Headcannons")</f>
        <v>Pony Shipping Headcannons</v>
      </c>
      <c r="E109" s="7" t="s">
        <v>44</v>
      </c>
      <c r="F109" s="7" t="s">
        <v>52</v>
      </c>
      <c r="H109" s="8" t="s">
        <v>168</v>
      </c>
      <c r="I109" s="6" t="str">
        <f>HYPERLINK("https://archive.ph/o/kCXAs/https://web-beta.archive.org/web/20130315140312/http://clopfic.heroku.com/authors/1410", "Obsidian Shadow")</f>
        <v>Obsidian Shadow</v>
      </c>
      <c r="J109" s="7" t="s">
        <v>39</v>
      </c>
      <c r="N109" s="7" t="s">
        <v>47</v>
      </c>
      <c r="O109" s="7" t="s">
        <v>51</v>
      </c>
      <c r="P109" s="7" t="s">
        <v>64</v>
      </c>
      <c r="AG109" s="9">
        <v>41127.0</v>
      </c>
      <c r="AH109" s="9">
        <v>41160.0</v>
      </c>
    </row>
    <row r="110">
      <c r="A110" s="6" t="str">
        <f>HYPERLINK("https://archive.ph/o/kCXAs/https://web-beta.archive.org/web/20130315140312/http://clopfic.heroku.com/fics/1421", "A Sunny Day Off")</f>
        <v>A Sunny Day Off</v>
      </c>
      <c r="C110" s="7" t="s">
        <v>54</v>
      </c>
      <c r="E110" s="7" t="s">
        <v>44</v>
      </c>
      <c r="H110" s="8" t="s">
        <v>169</v>
      </c>
      <c r="I110" s="6" t="str">
        <f>HYPERLINK("https://archive.ph/o/kCXAs/https://web-beta.archive.org/web/20130315140312/http://clopfic.heroku.com/authors/280", "BDNFatlus")</f>
        <v>BDNFatlus</v>
      </c>
      <c r="P110" s="7" t="s">
        <v>64</v>
      </c>
      <c r="AG110" s="9">
        <v>41158.0</v>
      </c>
      <c r="AH110" s="9">
        <v>41158.0</v>
      </c>
    </row>
    <row r="111">
      <c r="A111" s="6" t="str">
        <f>HYPERLINK("https://archive.ph/o/kCXAs/https://web-beta.archive.org/web/20130315140312/http://clopfic.heroku.com/fics/1420", "Princess Platinum, In the Flesh")</f>
        <v>Princess Platinum, In the Flesh</v>
      </c>
      <c r="D111" s="7" t="s">
        <v>37</v>
      </c>
      <c r="H111" s="8" t="s">
        <v>170</v>
      </c>
      <c r="I111" s="6" t="str">
        <f>HYPERLINK("https://archive.ph/o/kCXAs/https://web-beta.archive.org/web/20130315140312/http://clopfic.heroku.com/authors/1493", "Friedrich Neightsche")</f>
        <v>Friedrich Neightsche</v>
      </c>
      <c r="N111" s="7" t="s">
        <v>47</v>
      </c>
      <c r="R111" s="7" t="s">
        <v>66</v>
      </c>
      <c r="AG111" s="9">
        <v>41158.0</v>
      </c>
      <c r="AH111" s="9">
        <v>41158.0</v>
      </c>
    </row>
    <row r="112">
      <c r="A112" s="6" t="str">
        <f>HYPERLINK("https://archive.ph/o/kCXAs/https://web-beta.archive.org/web/20130315140312/http://clopfic.heroku.com/fics/1419", "Closer Than You Think")</f>
        <v>Closer Than You Think</v>
      </c>
      <c r="E112" s="7" t="s">
        <v>44</v>
      </c>
      <c r="H112" s="8" t="s">
        <v>171</v>
      </c>
      <c r="I112" s="6" t="str">
        <f>HYPERLINK("https://archive.ph/o/kCXAs/https://web-beta.archive.org/web/20130315140312/http://clopfic.heroku.com/authors/1492", "Sorren")</f>
        <v>Sorren</v>
      </c>
      <c r="AE112" s="7" t="s">
        <v>43</v>
      </c>
      <c r="AG112" s="9">
        <v>41157.0</v>
      </c>
      <c r="AH112" s="9">
        <v>41157.0</v>
      </c>
    </row>
    <row r="113">
      <c r="A113" s="6" t="str">
        <f>HYPERLINK("https://archive.ph/o/kCXAs/https://web-beta.archive.org/web/20130315140312/http://clopfic.heroku.com/fics/1418", "Ponyville's Triple Threat")</f>
        <v>Ponyville's Triple Threat</v>
      </c>
      <c r="H113" s="8" t="s">
        <v>172</v>
      </c>
      <c r="I113" s="6" t="str">
        <f>HYPERLINK("https://archive.ph/o/kCXAs/https://web-beta.archive.org/web/20130315140312/http://clopfic.heroku.com/authors/1133", "Bronystories")</f>
        <v>Bronystories</v>
      </c>
      <c r="L113" s="7" t="s">
        <v>62</v>
      </c>
      <c r="M113" s="7" t="s">
        <v>56</v>
      </c>
      <c r="AE113" s="7" t="s">
        <v>43</v>
      </c>
      <c r="AG113" s="9">
        <v>41157.0</v>
      </c>
      <c r="AH113" s="9">
        <v>41157.0</v>
      </c>
    </row>
    <row r="114">
      <c r="A114" s="6" t="str">
        <f>HYPERLINK("https://archive.ph/o/kCXAs/https://web-beta.archive.org/web/20130315140312/http://clopfic.heroku.com/fics/1089", "After School Special")</f>
        <v>After School Special</v>
      </c>
      <c r="F114" s="7" t="s">
        <v>52</v>
      </c>
      <c r="H114" s="8" t="s">
        <v>173</v>
      </c>
      <c r="I114" s="6" t="str">
        <f>HYPERLINK("https://archive.ph/o/kCXAs/https://web-beta.archive.org/web/20130315140312/http://clopfic.heroku.com/authors/789", "Your Antagonist")</f>
        <v>Your Antagonist</v>
      </c>
      <c r="R114" s="7" t="s">
        <v>66</v>
      </c>
      <c r="S114" s="7" t="s">
        <v>68</v>
      </c>
      <c r="T114" s="7" t="s">
        <v>59</v>
      </c>
      <c r="U114" s="7" t="s">
        <v>60</v>
      </c>
      <c r="Z114" s="7" t="s">
        <v>40</v>
      </c>
      <c r="AE114" s="7" t="s">
        <v>43</v>
      </c>
      <c r="AG114" s="9">
        <v>41048.0</v>
      </c>
      <c r="AH114" s="9">
        <v>41157.0</v>
      </c>
    </row>
    <row r="115">
      <c r="A115" s="6" t="str">
        <f>HYPERLINK("https://archive.ph/o/kCXAs/https://web-beta.archive.org/web/20130315140312/http://clopfic.heroku.com/fics/1417", "It's Go Time!")</f>
        <v>It's Go Time!</v>
      </c>
      <c r="D115" s="7" t="s">
        <v>37</v>
      </c>
      <c r="H115" s="8" t="s">
        <v>174</v>
      </c>
      <c r="I115" s="6" t="str">
        <f t="shared" ref="I115:I118" si="6">HYPERLINK("https://archive.ph/o/kCXAs/https://web-beta.archive.org/web/20130315140312/http://clopfic.heroku.com/authors/553", "ImJustAnotherBrony")</f>
        <v>ImJustAnotherBrony</v>
      </c>
      <c r="M115" s="7" t="s">
        <v>56</v>
      </c>
      <c r="P115" s="7" t="s">
        <v>64</v>
      </c>
      <c r="AG115" s="9">
        <v>41157.0</v>
      </c>
      <c r="AH115" s="9">
        <v>41157.0</v>
      </c>
    </row>
    <row r="116">
      <c r="A116" s="6" t="str">
        <f>HYPERLINK("https://archive.ph/o/kCXAs/https://web-beta.archive.org/web/20130315140312/http://clopfic.heroku.com/fics/1416", "What Happens in Applejack")</f>
        <v>What Happens in Applejack</v>
      </c>
      <c r="G116" s="7" t="s">
        <v>75</v>
      </c>
      <c r="H116" s="8" t="s">
        <v>175</v>
      </c>
      <c r="I116" s="6" t="str">
        <f t="shared" si="6"/>
        <v>ImJustAnotherBrony</v>
      </c>
      <c r="L116" s="7" t="s">
        <v>62</v>
      </c>
      <c r="S116" s="7" t="s">
        <v>68</v>
      </c>
      <c r="V116" s="7" t="s">
        <v>71</v>
      </c>
      <c r="AG116" s="9">
        <v>41157.0</v>
      </c>
      <c r="AH116" s="9">
        <v>41157.0</v>
      </c>
    </row>
    <row r="117">
      <c r="A117" s="6" t="str">
        <f>HYPERLINK("https://archive.ph/o/kCXAs/https://web-beta.archive.org/web/20130315140312/http://clopfic.heroku.com/fics/1415", "Estrus Maximus")</f>
        <v>Estrus Maximus</v>
      </c>
      <c r="D117" s="7" t="s">
        <v>37</v>
      </c>
      <c r="H117" s="8" t="s">
        <v>176</v>
      </c>
      <c r="I117" s="6" t="str">
        <f t="shared" si="6"/>
        <v>ImJustAnotherBrony</v>
      </c>
      <c r="J117" s="7" t="s">
        <v>39</v>
      </c>
      <c r="K117" s="7" t="s">
        <v>49</v>
      </c>
      <c r="AG117" s="9">
        <v>41156.0</v>
      </c>
      <c r="AH117" s="9">
        <v>41156.0</v>
      </c>
    </row>
    <row r="118">
      <c r="A118" s="6" t="str">
        <f>HYPERLINK("https://archive.ph/o/kCXAs/https://web-beta.archive.org/web/20130315140312/http://clopfic.heroku.com/fics/1414", "Pretty Little Liars")</f>
        <v>Pretty Little Liars</v>
      </c>
      <c r="E118" s="7" t="s">
        <v>44</v>
      </c>
      <c r="H118" s="8" t="s">
        <v>177</v>
      </c>
      <c r="I118" s="6" t="str">
        <f t="shared" si="6"/>
        <v>ImJustAnotherBrony</v>
      </c>
      <c r="J118" s="7" t="s">
        <v>39</v>
      </c>
      <c r="K118" s="7" t="s">
        <v>49</v>
      </c>
      <c r="L118" s="7" t="s">
        <v>62</v>
      </c>
      <c r="M118" s="7" t="s">
        <v>56</v>
      </c>
      <c r="N118" s="7" t="s">
        <v>47</v>
      </c>
      <c r="O118" s="7" t="s">
        <v>51</v>
      </c>
      <c r="P118" s="7" t="s">
        <v>64</v>
      </c>
      <c r="Q118" s="7" t="s">
        <v>65</v>
      </c>
      <c r="AG118" s="9">
        <v>41156.0</v>
      </c>
      <c r="AH118" s="9">
        <v>41156.0</v>
      </c>
    </row>
    <row r="119">
      <c r="A119" s="6" t="str">
        <f>HYPERLINK("https://archive.ph/o/kCXAs/https://web-beta.archive.org/web/20130315140312/http://clopfic.heroku.com/fics/1413", "Entering Adulthood")</f>
        <v>Entering Adulthood</v>
      </c>
      <c r="E119" s="7" t="s">
        <v>44</v>
      </c>
      <c r="H119" s="8" t="s">
        <v>178</v>
      </c>
      <c r="I119" s="6" t="str">
        <f>HYPERLINK("https://archive.ph/o/kCXAs/https://web-beta.archive.org/web/20130315140312/http://clopfic.heroku.com/authors/81", "Co/smonaut petro/v/")</f>
        <v>Co/smonaut petro/v/</v>
      </c>
      <c r="T119" s="7" t="s">
        <v>59</v>
      </c>
      <c r="AF119" s="7" t="s">
        <v>41</v>
      </c>
      <c r="AG119" s="9">
        <v>41156.0</v>
      </c>
      <c r="AH119" s="9">
        <v>41156.0</v>
      </c>
    </row>
    <row r="120">
      <c r="A120" s="6" t="str">
        <f>HYPERLINK("https://archive.ph/o/kCXAs/https://web-beta.archive.org/web/20130315140312/http://clopfic.heroku.com/fics/1412", "A Date With Scootaloo")</f>
        <v>A Date With Scootaloo</v>
      </c>
      <c r="C120" s="7" t="s">
        <v>54</v>
      </c>
      <c r="H120" s="8" t="s">
        <v>179</v>
      </c>
      <c r="I120" s="6" t="str">
        <f>HYPERLINK("https://archive.ph/o/kCXAs/https://web-beta.archive.org/web/20130315140312/http://clopfic.heroku.com/authors/1489", "NotProud")</f>
        <v>NotProud</v>
      </c>
      <c r="S120" s="7" t="s">
        <v>68</v>
      </c>
      <c r="T120" s="7" t="s">
        <v>59</v>
      </c>
      <c r="U120" s="7" t="s">
        <v>60</v>
      </c>
      <c r="AE120" s="7" t="s">
        <v>43</v>
      </c>
      <c r="AG120" s="9">
        <v>41155.0</v>
      </c>
      <c r="AH120" s="9">
        <v>41155.0</v>
      </c>
    </row>
    <row r="121">
      <c r="A121" s="6" t="str">
        <f>HYPERLINK("https://archive.ph/o/kCXAs/https://web-beta.archive.org/web/20130315140312/http://clopfic.heroku.com/fics/1411", "Dream a Little Dream")</f>
        <v>Dream a Little Dream</v>
      </c>
      <c r="D121" s="7" t="s">
        <v>37</v>
      </c>
      <c r="H121" s="8" t="s">
        <v>180</v>
      </c>
      <c r="I121" s="6" t="str">
        <f>HYPERLINK("https://archive.ph/o/kCXAs/https://web-beta.archive.org/web/20130315140312/http://clopfic.heroku.com/authors/1488", "Yuko Asho")</f>
        <v>Yuko Asho</v>
      </c>
      <c r="J121" s="7" t="s">
        <v>39</v>
      </c>
      <c r="K121" s="7" t="s">
        <v>49</v>
      </c>
      <c r="L121" s="7" t="s">
        <v>62</v>
      </c>
      <c r="M121" s="7" t="s">
        <v>56</v>
      </c>
      <c r="N121" s="7" t="s">
        <v>47</v>
      </c>
      <c r="O121" s="7" t="s">
        <v>51</v>
      </c>
      <c r="P121" s="7" t="s">
        <v>64</v>
      </c>
      <c r="Q121" s="7" t="s">
        <v>65</v>
      </c>
      <c r="V121" s="7" t="s">
        <v>71</v>
      </c>
      <c r="AG121" s="9">
        <v>41155.0</v>
      </c>
      <c r="AH121" s="9">
        <v>41155.0</v>
      </c>
    </row>
    <row r="122">
      <c r="A122" s="6" t="str">
        <f>HYPERLINK("https://archive.ph/o/kCXAs/https://web-beta.archive.org/web/20130315140312/http://clopfic.heroku.com/fics/1410", "Soft Spot")</f>
        <v>Soft Spot</v>
      </c>
      <c r="D122" s="7" t="s">
        <v>37</v>
      </c>
      <c r="E122" s="7" t="s">
        <v>44</v>
      </c>
      <c r="H122" s="8" t="s">
        <v>181</v>
      </c>
      <c r="I122" s="6" t="str">
        <f>HYPERLINK("https://archive.ph/o/kCXAs/https://web-beta.archive.org/web/20130315140312/http://clopfic.heroku.com/authors/1486", "Baron Von Clop")</f>
        <v>Baron Von Clop</v>
      </c>
      <c r="L122" s="7" t="s">
        <v>62</v>
      </c>
      <c r="N122" s="7" t="s">
        <v>47</v>
      </c>
      <c r="AG122" s="9">
        <v>41155.0</v>
      </c>
      <c r="AH122" s="9">
        <v>41155.0</v>
      </c>
    </row>
    <row r="123">
      <c r="A123" s="6" t="str">
        <f>HYPERLINK("https://archive.ph/o/kCXAs/https://web-beta.archive.org/web/20130315140312/http://clopfic.heroku.com/fics/1409", "Heating Up")</f>
        <v>Heating Up</v>
      </c>
      <c r="E123" s="7" t="s">
        <v>44</v>
      </c>
      <c r="H123" s="8" t="s">
        <v>182</v>
      </c>
      <c r="I123" s="6" t="str">
        <f>HYPERLINK("https://archive.ph/o/kCXAs/https://web-beta.archive.org/web/20130315140312/http://clopfic.heroku.com/authors/860", "JujubeLand")</f>
        <v>JujubeLand</v>
      </c>
      <c r="AE123" s="7" t="s">
        <v>43</v>
      </c>
      <c r="AG123" s="9">
        <v>41154.0</v>
      </c>
      <c r="AH123" s="9">
        <v>41154.0</v>
      </c>
    </row>
    <row r="124">
      <c r="A124" s="6" t="str">
        <f>HYPERLINK("https://archive.ph/o/kCXAs/https://web-beta.archive.org/web/20130315140312/http://clopfic.heroku.com/fics/1408", "An Old Friend")</f>
        <v>An Old Friend</v>
      </c>
      <c r="D124" s="7" t="s">
        <v>37</v>
      </c>
      <c r="H124" s="8" t="s">
        <v>183</v>
      </c>
      <c r="I124" s="6" t="str">
        <f>HYPERLINK("https://archive.ph/o/kCXAs/https://web-beta.archive.org/web/20130315140312/http://clopfic.heroku.com/authors/235", "Nostalgia Schmaltz")</f>
        <v>Nostalgia Schmaltz</v>
      </c>
      <c r="K124" s="7" t="s">
        <v>49</v>
      </c>
      <c r="M124" s="7" t="s">
        <v>56</v>
      </c>
      <c r="Y124" s="7" t="s">
        <v>184</v>
      </c>
      <c r="AG124" s="9">
        <v>41154.0</v>
      </c>
      <c r="AH124" s="9">
        <v>41154.0</v>
      </c>
    </row>
    <row r="125">
      <c r="A125" s="6" t="str">
        <f>HYPERLINK("https://archive.ph/o/kCXAs/https://web-beta.archive.org/web/20130315140312/http://clopfic.heroku.com/fics/1257", "Man About Town")</f>
        <v>Man About Town</v>
      </c>
      <c r="C125" s="7" t="s">
        <v>54</v>
      </c>
      <c r="E125" s="7" t="s">
        <v>44</v>
      </c>
      <c r="F125" s="7" t="s">
        <v>52</v>
      </c>
      <c r="H125" s="8" t="s">
        <v>185</v>
      </c>
      <c r="I125" s="6" t="str">
        <f>HYPERLINK("https://archive.ph/o/kCXAs/https://web-beta.archive.org/web/20130315140312/http://clopfic.heroku.com/authors/784", "Mr. Unsmiley")</f>
        <v>Mr. Unsmiley</v>
      </c>
      <c r="J125" s="7" t="s">
        <v>39</v>
      </c>
      <c r="K125" s="7" t="s">
        <v>49</v>
      </c>
      <c r="L125" s="7" t="s">
        <v>62</v>
      </c>
      <c r="M125" s="7" t="s">
        <v>56</v>
      </c>
      <c r="N125" s="7" t="s">
        <v>47</v>
      </c>
      <c r="O125" s="7" t="s">
        <v>51</v>
      </c>
      <c r="P125" s="7" t="s">
        <v>64</v>
      </c>
      <c r="Q125" s="7" t="s">
        <v>65</v>
      </c>
      <c r="R125" s="7" t="s">
        <v>66</v>
      </c>
      <c r="S125" s="7" t="s">
        <v>68</v>
      </c>
      <c r="T125" s="7" t="s">
        <v>59</v>
      </c>
      <c r="U125" s="7" t="s">
        <v>60</v>
      </c>
      <c r="Z125" s="7" t="s">
        <v>40</v>
      </c>
      <c r="AA125" s="7" t="s">
        <v>113</v>
      </c>
      <c r="AB125" s="7" t="s">
        <v>101</v>
      </c>
      <c r="AC125" s="7" t="s">
        <v>102</v>
      </c>
      <c r="AD125" s="7" t="s">
        <v>111</v>
      </c>
      <c r="AE125" s="7" t="s">
        <v>43</v>
      </c>
      <c r="AG125" s="9">
        <v>41100.0</v>
      </c>
      <c r="AH125" s="9">
        <v>41151.0</v>
      </c>
    </row>
    <row r="126">
      <c r="A126" s="6" t="str">
        <f>HYPERLINK("https://archive.ph/o/kCXAs/https://web-beta.archive.org/web/20130315140312/http://clopfic.heroku.com/fics/756", "Even Nightmares Have Urges")</f>
        <v>Even Nightmares Have Urges</v>
      </c>
      <c r="B126" s="7" t="s">
        <v>36</v>
      </c>
      <c r="D126" s="7" t="s">
        <v>37</v>
      </c>
      <c r="E126" s="7" t="s">
        <v>44</v>
      </c>
      <c r="F126" s="7" t="s">
        <v>52</v>
      </c>
      <c r="H126" s="8" t="s">
        <v>186</v>
      </c>
      <c r="I126" s="6" t="str">
        <f>HYPERLINK("https://archive.ph/o/kCXAs/https://web-beta.archive.org/web/20130315140312/http://clopfic.heroku.com/authors/580", "LEPShot")</f>
        <v>LEPShot</v>
      </c>
      <c r="J126" s="7" t="s">
        <v>39</v>
      </c>
      <c r="P126" s="7" t="s">
        <v>64</v>
      </c>
      <c r="Q126" s="7" t="s">
        <v>65</v>
      </c>
      <c r="Z126" s="7" t="s">
        <v>40</v>
      </c>
      <c r="AE126" s="7" t="s">
        <v>43</v>
      </c>
      <c r="AG126" s="9">
        <v>40934.0</v>
      </c>
      <c r="AH126" s="9">
        <v>41150.0</v>
      </c>
    </row>
    <row r="127">
      <c r="A127" s="6" t="str">
        <f>HYPERLINK("https://archive.ph/o/kCXAs/https://web-beta.archive.org/web/20130315140312/http://clopfic.heroku.com/fics/1406", "Fun with foals: The Cutie Mark Crusaders and the legend of the Holy Celestian Hexacock")</f>
        <v>Fun with foals: The Cutie Mark Crusaders and the legend of the Holy Celestian Hexacock</v>
      </c>
      <c r="H127" s="8" t="s">
        <v>187</v>
      </c>
      <c r="I127" s="6" t="str">
        <f>HYPERLINK("https://archive.ph/o/kCXAs/https://web-beta.archive.org/web/20130315140312/http://clopfic.heroku.com/authors/949", "KinkyCelestia")</f>
        <v>KinkyCelestia</v>
      </c>
      <c r="J127" s="7" t="s">
        <v>39</v>
      </c>
      <c r="P127" s="7" t="s">
        <v>64</v>
      </c>
      <c r="S127" s="7" t="s">
        <v>68</v>
      </c>
      <c r="T127" s="7" t="s">
        <v>59</v>
      </c>
      <c r="U127" s="7" t="s">
        <v>60</v>
      </c>
      <c r="AG127" s="9">
        <v>41150.0</v>
      </c>
      <c r="AH127" s="9">
        <v>41150.0</v>
      </c>
    </row>
    <row r="128">
      <c r="A128" s="6" t="str">
        <f>HYPERLINK("https://archive.ph/o/kCXAs/https://web-beta.archive.org/web/20130315140312/http://clopfic.heroku.com/fics/1404", "White Wine")</f>
        <v>White Wine</v>
      </c>
      <c r="C128" s="7" t="s">
        <v>54</v>
      </c>
      <c r="E128" s="7" t="s">
        <v>44</v>
      </c>
      <c r="H128" s="8" t="s">
        <v>188</v>
      </c>
      <c r="I128" s="6" t="str">
        <f>HYPERLINK("https://archive.ph/o/kCXAs/https://web-beta.archive.org/web/20130315140312/http://clopfic.heroku.com/authors/786", "doomguy")</f>
        <v>doomguy</v>
      </c>
      <c r="N128" s="7" t="s">
        <v>47</v>
      </c>
      <c r="Z128" s="7" t="s">
        <v>40</v>
      </c>
      <c r="AF128" s="7" t="s">
        <v>41</v>
      </c>
      <c r="AG128" s="9">
        <v>41149.0</v>
      </c>
      <c r="AH128" s="9">
        <v>41149.0</v>
      </c>
    </row>
    <row r="129">
      <c r="A129" s="6" t="str">
        <f>HYPERLINK("https://archive.ph/o/kCXAs/https://web-beta.archive.org/web/20130315140312/http://clopfic.heroku.com/fics/1402", "Twilight Sparkle Teaches Pinkie Pie Equestrian Jurisprudence")</f>
        <v>Twilight Sparkle Teaches Pinkie Pie Equestrian Jurisprudence</v>
      </c>
      <c r="D129" s="7" t="s">
        <v>37</v>
      </c>
      <c r="H129" s="8" t="s">
        <v>189</v>
      </c>
      <c r="I129" s="6" t="str">
        <f>HYPERLINK("https://archive.ph/o/kCXAs/https://web-beta.archive.org/web/20130315140312/http://clopfic.heroku.com/authors/1121", "Amit")</f>
        <v>Amit</v>
      </c>
      <c r="J129" s="7" t="s">
        <v>39</v>
      </c>
      <c r="K129" s="7" t="s">
        <v>49</v>
      </c>
      <c r="AG129" s="9">
        <v>41149.0</v>
      </c>
      <c r="AH129" s="9">
        <v>41149.0</v>
      </c>
    </row>
    <row r="130">
      <c r="A130" s="6" t="str">
        <f>HYPERLINK("https://archive.ph/o/kCXAs/https://web-beta.archive.org/web/20130315140312/http://clopfic.heroku.com/fics/1401", "Violet Corset")</f>
        <v>Violet Corset</v>
      </c>
      <c r="E130" s="7" t="s">
        <v>44</v>
      </c>
      <c r="G130" s="7" t="s">
        <v>75</v>
      </c>
      <c r="H130" s="8" t="s">
        <v>190</v>
      </c>
      <c r="I130" s="6" t="str">
        <f>HYPERLINK("https://archive.ph/o/kCXAs/https://web-beta.archive.org/web/20130315140312/http://clopfic.heroku.com/authors/800", "Tropicleaf")</f>
        <v>Tropicleaf</v>
      </c>
      <c r="Z130" s="7" t="s">
        <v>40</v>
      </c>
      <c r="AE130" s="7" t="s">
        <v>43</v>
      </c>
      <c r="AG130" s="9">
        <v>41149.0</v>
      </c>
      <c r="AH130" s="9">
        <v>41149.0</v>
      </c>
    </row>
    <row r="131">
      <c r="A131" s="6" t="str">
        <f>HYPERLINK("https://archive.ph/o/kCXAs/https://web-beta.archive.org/web/20130315140312/http://clopfic.heroku.com/fics/1400", "University Nights")</f>
        <v>University Nights</v>
      </c>
      <c r="E131" s="7" t="s">
        <v>44</v>
      </c>
      <c r="F131" s="7" t="s">
        <v>52</v>
      </c>
      <c r="H131" s="8" t="s">
        <v>191</v>
      </c>
      <c r="I131" s="6" t="str">
        <f>HYPERLINK("https://archive.ph/o/kCXAs/https://web-beta.archive.org/web/20130315140312/http://clopfic.heroku.com/authors/1476", "DawnFade")</f>
        <v>DawnFade</v>
      </c>
      <c r="AE131" s="7" t="s">
        <v>43</v>
      </c>
      <c r="AG131" s="9">
        <v>41149.0</v>
      </c>
      <c r="AH131" s="9">
        <v>41149.0</v>
      </c>
    </row>
    <row r="132">
      <c r="A132" s="6" t="str">
        <f>HYPERLINK("https://archive.ph/o/kCXAs/https://web-beta.archive.org/web/20130315140312/http://clopfic.heroku.com/fics/1398", "Day Off - Customer Satisfaction")</f>
        <v>Day Off - Customer Satisfaction</v>
      </c>
      <c r="D132" s="7" t="s">
        <v>37</v>
      </c>
      <c r="H132" s="8" t="s">
        <v>192</v>
      </c>
      <c r="I132" s="6" t="str">
        <f>HYPERLINK("https://archive.ph/o/kCXAs/https://web-beta.archive.org/web/20130315140312/http://clopfic.heroku.com/authors/262", "kits")</f>
        <v>kits</v>
      </c>
      <c r="K132" s="7" t="s">
        <v>49</v>
      </c>
      <c r="N132" s="7" t="s">
        <v>47</v>
      </c>
      <c r="AG132" s="9">
        <v>41148.0</v>
      </c>
      <c r="AH132" s="9">
        <v>41148.0</v>
      </c>
    </row>
    <row r="133">
      <c r="A133" s="6" t="str">
        <f>HYPERLINK("https://archive.ph/o/kCXAs/https://web-beta.archive.org/web/20130315140312/http://clopfic.heroku.com/fics/1397", "Wet Dreams and Spurting Streams")</f>
        <v>Wet Dreams and Spurting Streams</v>
      </c>
      <c r="D133" s="7" t="s">
        <v>37</v>
      </c>
      <c r="F133" s="7" t="s">
        <v>52</v>
      </c>
      <c r="H133" s="8" t="s">
        <v>193</v>
      </c>
      <c r="I133" s="6" t="str">
        <f>HYPERLINK("https://archive.ph/o/kCXAs/https://web-beta.archive.org/web/20130315140312/http://clopfic.heroku.com/authors/237", "HighLevelTeen")</f>
        <v>HighLevelTeen</v>
      </c>
      <c r="N133" s="7" t="s">
        <v>47</v>
      </c>
      <c r="AG133" s="9">
        <v>41147.0</v>
      </c>
      <c r="AH133" s="9">
        <v>41147.0</v>
      </c>
    </row>
    <row r="134">
      <c r="A134" s="6" t="str">
        <f>HYPERLINK("https://archive.ph/o/kCXAs/https://web-beta.archive.org/web/20130315140312/http://clopfic.heroku.com/fics/1396", "Measurements")</f>
        <v>Measurements</v>
      </c>
      <c r="C134" s="7" t="s">
        <v>54</v>
      </c>
      <c r="H134" s="8" t="s">
        <v>194</v>
      </c>
      <c r="I134" s="6" t="str">
        <f>HYPERLINK("https://archive.ph/o/kCXAs/https://web-beta.archive.org/web/20130315140312/http://clopfic.heroku.com/authors/1471", "Thehiddenclopper")</f>
        <v>Thehiddenclopper</v>
      </c>
      <c r="J134" s="7" t="s">
        <v>39</v>
      </c>
      <c r="Z134" s="7" t="s">
        <v>40</v>
      </c>
      <c r="AF134" s="7" t="s">
        <v>41</v>
      </c>
      <c r="AG134" s="9">
        <v>41147.0</v>
      </c>
      <c r="AH134" s="9">
        <v>41147.0</v>
      </c>
    </row>
    <row r="135">
      <c r="A135" s="6" t="str">
        <f>HYPERLINK("https://archive.ph/o/kCXAs/https://web-beta.archive.org/web/20130315140312/http://clopfic.heroku.com/fics/1394", "Baking")</f>
        <v>Baking</v>
      </c>
      <c r="H135" s="8" t="s">
        <v>195</v>
      </c>
      <c r="I135" s="6" t="str">
        <f>HYPERLINK("https://archive.ph/o/kCXAs/https://web-beta.archive.org/web/20130315140312/http://clopfic.heroku.com/authors/1462", "boomer30569")</f>
        <v>boomer30569</v>
      </c>
      <c r="K135" s="7" t="s">
        <v>49</v>
      </c>
      <c r="Z135" s="7" t="s">
        <v>40</v>
      </c>
      <c r="AE135" s="7" t="s">
        <v>43</v>
      </c>
      <c r="AG135" s="9">
        <v>41147.0</v>
      </c>
      <c r="AH135" s="9">
        <v>41147.0</v>
      </c>
    </row>
    <row r="136">
      <c r="A136" s="6" t="str">
        <f>HYPERLINK("https://archive.ph/o/kCXAs/https://web-beta.archive.org/web/20130315140312/http://clopfic.heroku.com/fics/1393", "A Lotus' Allure")</f>
        <v>A Lotus' Allure</v>
      </c>
      <c r="H136" s="8" t="s">
        <v>196</v>
      </c>
      <c r="I136" s="6" t="str">
        <f>HYPERLINK("https://archive.ph/o/kCXAs/https://web-beta.archive.org/web/20130315140312/http://clopfic.heroku.com/authors/235", "Nostalgia Schmaltz")</f>
        <v>Nostalgia Schmaltz</v>
      </c>
      <c r="AE136" s="7" t="s">
        <v>43</v>
      </c>
      <c r="AG136" s="9">
        <v>41147.0</v>
      </c>
      <c r="AH136" s="9">
        <v>41147.0</v>
      </c>
    </row>
    <row r="137">
      <c r="A137" s="6" t="str">
        <f>HYPERLINK("https://archive.ph/o/kCXAs/https://web-beta.archive.org/web/20130315140312/http://clopfic.heroku.com/fics/1391", "Satisfaction")</f>
        <v>Satisfaction</v>
      </c>
      <c r="E137" s="7" t="s">
        <v>44</v>
      </c>
      <c r="H137" s="8" t="s">
        <v>197</v>
      </c>
      <c r="I137" s="6" t="str">
        <f>HYPERLINK("https://archive.ph/o/kCXAs/https://web-beta.archive.org/web/20130315140312/http://clopfic.heroku.com/authors/253", "TAW")</f>
        <v>TAW</v>
      </c>
      <c r="K137" s="7" t="s">
        <v>49</v>
      </c>
      <c r="M137" s="7" t="s">
        <v>56</v>
      </c>
      <c r="AG137" s="9">
        <v>41146.0</v>
      </c>
      <c r="AH137" s="9">
        <v>41146.0</v>
      </c>
    </row>
    <row r="138">
      <c r="A138" s="6" t="str">
        <f>HYPERLINK("https://archive.ph/o/kCXAs/https://web-beta.archive.org/web/20130315140312/http://clopfic.heroku.com/fics/1390", "Bitter Desserts")</f>
        <v>Bitter Desserts</v>
      </c>
      <c r="B138" s="7" t="s">
        <v>36</v>
      </c>
      <c r="H138" s="8" t="s">
        <v>198</v>
      </c>
      <c r="I138" s="6" t="str">
        <f>HYPERLINK("https://archive.ph/o/kCXAs/https://web-beta.archive.org/web/20130315140312/http://clopfic.heroku.com/authors/1238", "Shaka Laka")</f>
        <v>Shaka Laka</v>
      </c>
      <c r="K138" s="7" t="s">
        <v>49</v>
      </c>
      <c r="AE138" s="7" t="s">
        <v>43</v>
      </c>
      <c r="AG138" s="9">
        <v>41146.0</v>
      </c>
      <c r="AH138" s="9">
        <v>41146.0</v>
      </c>
    </row>
    <row r="139">
      <c r="A139" s="6" t="str">
        <f>HYPERLINK("https://archive.ph/o/kCXAs/https://web-beta.archive.org/web/20130315140312/http://clopfic.heroku.com/fics/673", "Unicorn Diaries")</f>
        <v>Unicorn Diaries</v>
      </c>
      <c r="C139" s="7" t="s">
        <v>54</v>
      </c>
      <c r="D139" s="7" t="s">
        <v>37</v>
      </c>
      <c r="E139" s="7" t="s">
        <v>44</v>
      </c>
      <c r="H139" s="8" t="s">
        <v>199</v>
      </c>
      <c r="I139" s="6" t="str">
        <f>HYPERLINK("https://archive.ph/o/kCXAs/https://web-beta.archive.org/web/20130315140312/http://clopfic.heroku.com/authors/98", "Sanguiniuschan")</f>
        <v>Sanguiniuschan</v>
      </c>
      <c r="J139" s="7" t="s">
        <v>39</v>
      </c>
      <c r="M139" s="7" t="s">
        <v>56</v>
      </c>
      <c r="N139" s="7" t="s">
        <v>47</v>
      </c>
      <c r="P139" s="7" t="s">
        <v>64</v>
      </c>
      <c r="Z139" s="7" t="s">
        <v>40</v>
      </c>
      <c r="AF139" s="7" t="s">
        <v>41</v>
      </c>
      <c r="AG139" s="9">
        <v>40910.0</v>
      </c>
      <c r="AH139" s="9">
        <v>41145.0</v>
      </c>
    </row>
    <row r="140">
      <c r="A140" s="6" t="str">
        <f>HYPERLINK("https://archive.ph/o/kCXAs/https://web-beta.archive.org/web/20130315140312/http://clopfic.heroku.com/fics/1389", "And Hearts Will Change")</f>
        <v>And Hearts Will Change</v>
      </c>
      <c r="E140" s="7" t="s">
        <v>44</v>
      </c>
      <c r="H140" s="8" t="s">
        <v>200</v>
      </c>
      <c r="I140" s="6" t="str">
        <f>HYPERLINK("https://archive.ph/o/kCXAs/https://web-beta.archive.org/web/20130315140312/http://clopfic.heroku.com/authors/1468", "Peppy Greyskull")</f>
        <v>Peppy Greyskull</v>
      </c>
      <c r="J140" s="7" t="s">
        <v>39</v>
      </c>
      <c r="Z140" s="7" t="s">
        <v>40</v>
      </c>
      <c r="AE140" s="7" t="s">
        <v>43</v>
      </c>
      <c r="AG140" s="9">
        <v>41145.0</v>
      </c>
      <c r="AH140" s="9">
        <v>41145.0</v>
      </c>
    </row>
    <row r="141">
      <c r="A141" s="6" t="str">
        <f>HYPERLINK("https://archive.ph/o/kCXAs/https://web-beta.archive.org/web/20130315140312/http://clopfic.heroku.com/fics/504", "My Little Fetish: Friendship is Kinky")</f>
        <v>My Little Fetish: Friendship is Kinky</v>
      </c>
      <c r="B141" s="7" t="s">
        <v>36</v>
      </c>
      <c r="C141" s="7" t="s">
        <v>54</v>
      </c>
      <c r="D141" s="7" t="s">
        <v>37</v>
      </c>
      <c r="E141" s="7" t="s">
        <v>44</v>
      </c>
      <c r="F141" s="7" t="s">
        <v>52</v>
      </c>
      <c r="G141" s="7" t="s">
        <v>75</v>
      </c>
      <c r="H141" s="3"/>
      <c r="I141" s="6" t="str">
        <f>HYPERLINK("https://archive.ph/o/kCXAs/https://web-beta.archive.org/web/20130315140312/http://clopfic.heroku.com/authors/1522", "Godot")</f>
        <v>Godot</v>
      </c>
      <c r="J141" s="7" t="s">
        <v>39</v>
      </c>
      <c r="K141" s="7" t="s">
        <v>49</v>
      </c>
      <c r="L141" s="7" t="s">
        <v>62</v>
      </c>
      <c r="M141" s="7" t="s">
        <v>56</v>
      </c>
      <c r="N141" s="7" t="s">
        <v>47</v>
      </c>
      <c r="O141" s="7" t="s">
        <v>51</v>
      </c>
      <c r="P141" s="7" t="s">
        <v>64</v>
      </c>
      <c r="Q141" s="7" t="s">
        <v>65</v>
      </c>
      <c r="R141" s="7" t="s">
        <v>66</v>
      </c>
      <c r="S141" s="7" t="s">
        <v>68</v>
      </c>
      <c r="T141" s="7" t="s">
        <v>59</v>
      </c>
      <c r="U141" s="7" t="s">
        <v>60</v>
      </c>
      <c r="V141" s="7" t="s">
        <v>71</v>
      </c>
      <c r="W141" s="7" t="s">
        <v>69</v>
      </c>
      <c r="X141" s="7" t="s">
        <v>107</v>
      </c>
      <c r="Y141" s="7" t="s">
        <v>184</v>
      </c>
      <c r="Z141" s="7" t="s">
        <v>40</v>
      </c>
      <c r="AA141" s="7" t="s">
        <v>113</v>
      </c>
      <c r="AB141" s="7" t="s">
        <v>101</v>
      </c>
      <c r="AC141" s="7" t="s">
        <v>102</v>
      </c>
      <c r="AD141" s="7" t="s">
        <v>111</v>
      </c>
      <c r="AE141" s="7" t="s">
        <v>43</v>
      </c>
      <c r="AF141" s="7" t="s">
        <v>41</v>
      </c>
      <c r="AG141" s="9">
        <v>40813.0</v>
      </c>
      <c r="AH141" s="9">
        <v>41143.0</v>
      </c>
    </row>
    <row r="142">
      <c r="A142" s="6" t="str">
        <f>HYPERLINK("https://archive.ph/o/kCXAs/https://web-beta.archive.org/web/20130315140312/http://clopfic.heroku.com/fics/1387", "The New Guys")</f>
        <v>The New Guys</v>
      </c>
      <c r="E142" s="7" t="s">
        <v>44</v>
      </c>
      <c r="H142" s="8" t="s">
        <v>201</v>
      </c>
      <c r="I142" s="6" t="str">
        <f>HYPERLINK("https://archive.ph/o/kCXAs/https://web-beta.archive.org/web/20130315140312/http://clopfic.heroku.com/authors/1467", "LoneWolf94")</f>
        <v>LoneWolf94</v>
      </c>
      <c r="M142" s="7" t="s">
        <v>56</v>
      </c>
      <c r="P142" s="7" t="s">
        <v>64</v>
      </c>
      <c r="Z142" s="7" t="s">
        <v>40</v>
      </c>
      <c r="AF142" s="7" t="s">
        <v>41</v>
      </c>
      <c r="AG142" s="9">
        <v>41143.0</v>
      </c>
      <c r="AH142" s="9">
        <v>41143.0</v>
      </c>
    </row>
    <row r="143">
      <c r="A143" s="6" t="str">
        <f>HYPERLINK("https://archive.ph/o/kCXAs/https://web-beta.archive.org/web/20130315140312/http://clopfic.heroku.com/fics/1383", "Fever")</f>
        <v>Fever</v>
      </c>
      <c r="E143" s="7" t="s">
        <v>44</v>
      </c>
      <c r="H143" s="8" t="s">
        <v>202</v>
      </c>
      <c r="I143" s="6" t="str">
        <f>HYPERLINK("https://archive.ph/o/kCXAs/https://web-beta.archive.org/web/20130315140312/http://clopfic.heroku.com/authors/1", "RagingSemi")</f>
        <v>RagingSemi</v>
      </c>
      <c r="X143" s="7" t="s">
        <v>107</v>
      </c>
      <c r="AG143" s="9">
        <v>41141.0</v>
      </c>
      <c r="AH143" s="9">
        <v>41143.0</v>
      </c>
    </row>
    <row r="144">
      <c r="A144" s="6" t="str">
        <f>HYPERLINK("https://archive.ph/o/kCXAs/https://web-beta.archive.org/web/20130315140312/http://clopfic.heroku.com/fics/1386", "Co-Op")</f>
        <v>Co-Op</v>
      </c>
      <c r="D144" s="7" t="s">
        <v>37</v>
      </c>
      <c r="H144" s="8" t="s">
        <v>203</v>
      </c>
      <c r="I144" s="6" t="str">
        <f>HYPERLINK("https://archive.ph/o/kCXAs/https://web-beta.archive.org/web/20130315140312/http://clopfic.heroku.com/authors/1462", "boomer30569")</f>
        <v>boomer30569</v>
      </c>
      <c r="Q144" s="7" t="s">
        <v>65</v>
      </c>
      <c r="AG144" s="9">
        <v>41142.0</v>
      </c>
      <c r="AH144" s="9">
        <v>41142.0</v>
      </c>
    </row>
    <row r="145">
      <c r="A145" s="6" t="str">
        <f>HYPERLINK("https://archive.ph/o/kCXAs/https://web-beta.archive.org/web/20130315140312/http://clopfic.heroku.com/fics/1385", "Trixie's Trick Wagon #1")</f>
        <v>Trixie's Trick Wagon #1</v>
      </c>
      <c r="D145" s="7" t="s">
        <v>37</v>
      </c>
      <c r="H145" s="8" t="s">
        <v>204</v>
      </c>
      <c r="I145" s="6" t="str">
        <f>HYPERLINK("https://archive.ph/o/kCXAs/https://web-beta.archive.org/web/20130315140312/http://clopfic.heroku.com/authors/1458", "Trixareforkids")</f>
        <v>Trixareforkids</v>
      </c>
      <c r="W145" s="7" t="s">
        <v>69</v>
      </c>
      <c r="Z145" s="7" t="s">
        <v>40</v>
      </c>
      <c r="AF145" s="7" t="s">
        <v>41</v>
      </c>
      <c r="AG145" s="9">
        <v>41142.0</v>
      </c>
      <c r="AH145" s="9">
        <v>41142.0</v>
      </c>
    </row>
    <row r="146">
      <c r="A146" s="6" t="str">
        <f>HYPERLINK("https://archive.ph/o/kCXAs/https://web-beta.archive.org/web/20130315140312/http://clopfic.heroku.com/fics/1237", "The Game")</f>
        <v>The Game</v>
      </c>
      <c r="C146" s="7" t="s">
        <v>54</v>
      </c>
      <c r="D146" s="7" t="s">
        <v>37</v>
      </c>
      <c r="E146" s="7" t="s">
        <v>44</v>
      </c>
      <c r="H146" s="8" t="s">
        <v>205</v>
      </c>
      <c r="I146" s="6" t="str">
        <f>HYPERLINK("https://archive.ph/o/kCXAs/https://web-beta.archive.org/web/20130315140312/http://clopfic.heroku.com/authors/1253", "moviemaster8510")</f>
        <v>moviemaster8510</v>
      </c>
      <c r="J146" s="7" t="s">
        <v>39</v>
      </c>
      <c r="K146" s="7" t="s">
        <v>49</v>
      </c>
      <c r="L146" s="7" t="s">
        <v>62</v>
      </c>
      <c r="M146" s="7" t="s">
        <v>56</v>
      </c>
      <c r="N146" s="7" t="s">
        <v>47</v>
      </c>
      <c r="O146" s="7" t="s">
        <v>51</v>
      </c>
      <c r="P146" s="7" t="s">
        <v>64</v>
      </c>
      <c r="Q146" s="7" t="s">
        <v>65</v>
      </c>
      <c r="S146" s="7" t="s">
        <v>68</v>
      </c>
      <c r="T146" s="7" t="s">
        <v>59</v>
      </c>
      <c r="U146" s="7" t="s">
        <v>60</v>
      </c>
      <c r="V146" s="7" t="s">
        <v>71</v>
      </c>
      <c r="W146" s="7" t="s">
        <v>69</v>
      </c>
      <c r="X146" s="7" t="s">
        <v>107</v>
      </c>
      <c r="Y146" s="7" t="s">
        <v>184</v>
      </c>
      <c r="Z146" s="7" t="s">
        <v>40</v>
      </c>
      <c r="AA146" s="7" t="s">
        <v>113</v>
      </c>
      <c r="AB146" s="7" t="s">
        <v>101</v>
      </c>
      <c r="AD146" s="7" t="s">
        <v>111</v>
      </c>
      <c r="AE146" s="7" t="s">
        <v>43</v>
      </c>
      <c r="AF146" s="7" t="s">
        <v>41</v>
      </c>
      <c r="AG146" s="9">
        <v>41091.0</v>
      </c>
      <c r="AH146" s="9">
        <v>41141.0</v>
      </c>
    </row>
    <row r="147">
      <c r="A147" s="6" t="str">
        <f>HYPERLINK("https://archive.ph/o/kCXAs/https://web-beta.archive.org/web/20130315140312/http://clopfic.heroku.com/fics/645", "The Twilight Effect")</f>
        <v>The Twilight Effect</v>
      </c>
      <c r="E147" s="7" t="s">
        <v>44</v>
      </c>
      <c r="G147" s="7" t="s">
        <v>75</v>
      </c>
      <c r="H147" s="8" t="s">
        <v>206</v>
      </c>
      <c r="I147" s="6" t="str">
        <f>HYPERLINK("https://archive.ph/o/kCXAs/https://web-beta.archive.org/web/20130315140312/http://clopfic.heroku.com/authors/82", "Aquarian Poet")</f>
        <v>Aquarian Poet</v>
      </c>
      <c r="J147" s="7" t="s">
        <v>39</v>
      </c>
      <c r="K147" s="7" t="s">
        <v>49</v>
      </c>
      <c r="L147" s="7" t="s">
        <v>62</v>
      </c>
      <c r="M147" s="7" t="s">
        <v>56</v>
      </c>
      <c r="N147" s="7" t="s">
        <v>47</v>
      </c>
      <c r="O147" s="7" t="s">
        <v>51</v>
      </c>
      <c r="W147" s="7" t="s">
        <v>69</v>
      </c>
      <c r="AG147" s="9">
        <v>40901.0</v>
      </c>
      <c r="AH147" s="9">
        <v>41141.0</v>
      </c>
    </row>
    <row r="148">
      <c r="A148" s="6" t="str">
        <f>HYPERLINK("https://archive.ph/o/kCXAs/https://web-beta.archive.org/web/20130315140312/http://clopfic.heroku.com/fics/1384", "A Night of Knead")</f>
        <v>A Night of Knead</v>
      </c>
      <c r="C148" s="7" t="s">
        <v>54</v>
      </c>
      <c r="E148" s="7" t="s">
        <v>44</v>
      </c>
      <c r="H148" s="8" t="s">
        <v>207</v>
      </c>
      <c r="I148" s="6" t="str">
        <f>HYPERLINK("https://archive.ph/o/kCXAs/https://web-beta.archive.org/web/20130315140312/http://clopfic.heroku.com/authors/860", "JujubeLand")</f>
        <v>JujubeLand</v>
      </c>
      <c r="AE148" s="7" t="s">
        <v>43</v>
      </c>
      <c r="AG148" s="9">
        <v>41141.0</v>
      </c>
      <c r="AH148" s="9">
        <v>41141.0</v>
      </c>
    </row>
    <row r="149">
      <c r="A149" s="6" t="str">
        <f>HYPERLINK("https://archive.ph/o/kCXAs/https://web-beta.archive.org/web/20130315140312/http://clopfic.heroku.com/fics/1382", "Southern Comfort")</f>
        <v>Southern Comfort</v>
      </c>
      <c r="E149" s="7" t="s">
        <v>44</v>
      </c>
      <c r="H149" s="8" t="s">
        <v>208</v>
      </c>
      <c r="I149" s="6" t="str">
        <f>HYPERLINK("https://archive.ph/o/kCXAs/https://web-beta.archive.org/web/20130315140312/http://clopfic.heroku.com/authors/1452", "Bookworm S")</f>
        <v>Bookworm S</v>
      </c>
      <c r="AE149" s="7" t="s">
        <v>43</v>
      </c>
      <c r="AG149" s="9">
        <v>41140.0</v>
      </c>
      <c r="AH149" s="9">
        <v>41140.0</v>
      </c>
    </row>
    <row r="150">
      <c r="A150" s="6" t="str">
        <f>HYPERLINK("https://archive.ph/o/kCXAs/https://web-beta.archive.org/web/20130315140312/http://clopfic.heroku.com/fics/1381", "Attire")</f>
        <v>Attire</v>
      </c>
      <c r="C150" s="7" t="s">
        <v>54</v>
      </c>
      <c r="H150" s="8" t="s">
        <v>209</v>
      </c>
      <c r="I150" s="6" t="str">
        <f>HYPERLINK("https://archive.ph/o/kCXAs/https://web-beta.archive.org/web/20130315140312/http://clopfic.heroku.com/authors/1000", "Maple Sunset")</f>
        <v>Maple Sunset</v>
      </c>
      <c r="T150" s="7" t="s">
        <v>59</v>
      </c>
      <c r="Z150" s="7" t="s">
        <v>40</v>
      </c>
      <c r="AF150" s="7" t="s">
        <v>41</v>
      </c>
      <c r="AG150" s="9">
        <v>41140.0</v>
      </c>
      <c r="AH150" s="9">
        <v>41140.0</v>
      </c>
    </row>
    <row r="151">
      <c r="A151" s="6" t="str">
        <f>HYPERLINK("https://archive.ph/o/kCXAs/https://web-beta.archive.org/web/20130315140312/http://clopfic.heroku.com/fics/1380", "The Great and Powerful Foursome")</f>
        <v>The Great and Powerful Foursome</v>
      </c>
      <c r="D151" s="7" t="s">
        <v>37</v>
      </c>
      <c r="H151" s="8" t="s">
        <v>210</v>
      </c>
      <c r="I151" s="6" t="str">
        <f>HYPERLINK("https://archive.ph/o/kCXAs/https://web-beta.archive.org/web/20130315140312/http://clopfic.heroku.com/authors/235", "Nostalgia Schmaltz")</f>
        <v>Nostalgia Schmaltz</v>
      </c>
      <c r="W151" s="7" t="s">
        <v>69</v>
      </c>
      <c r="AG151" s="9">
        <v>41140.0</v>
      </c>
      <c r="AH151" s="9">
        <v>41140.0</v>
      </c>
    </row>
    <row r="152">
      <c r="A152" s="6" t="str">
        <f>HYPERLINK("https://archive.ph/o/kCXAs/https://web-beta.archive.org/web/20130315140312/http://clopfic.heroku.com/fics/1326", "Faithful")</f>
        <v>Faithful</v>
      </c>
      <c r="B152" s="7" t="s">
        <v>36</v>
      </c>
      <c r="D152" s="7" t="s">
        <v>37</v>
      </c>
      <c r="H152" s="8" t="s">
        <v>211</v>
      </c>
      <c r="I152" s="6" t="str">
        <f>HYPERLINK("https://archive.ph/o/kCXAs/https://web-beta.archive.org/web/20130315140312/http://clopfic.heroku.com/authors/1384", "Togashi")</f>
        <v>Togashi</v>
      </c>
      <c r="J152" s="7" t="s">
        <v>39</v>
      </c>
      <c r="P152" s="7" t="s">
        <v>64</v>
      </c>
      <c r="AG152" s="9">
        <v>41125.0</v>
      </c>
      <c r="AH152" s="9">
        <v>41140.0</v>
      </c>
    </row>
    <row r="153">
      <c r="A153" s="6" t="str">
        <f>HYPERLINK("https://archive.ph/o/kCXAs/https://web-beta.archive.org/web/20130315140312/http://clopfic.heroku.com/fics/1255", "Clopfic Chronicles")</f>
        <v>Clopfic Chronicles</v>
      </c>
      <c r="D153" s="7" t="s">
        <v>37</v>
      </c>
      <c r="F153" s="7" t="s">
        <v>52</v>
      </c>
      <c r="H153" s="8" t="s">
        <v>212</v>
      </c>
      <c r="I153" s="6" t="str">
        <f>HYPERLINK("https://archive.ph/o/kCXAs/https://web-beta.archive.org/web/20130315140312/http://clopfic.heroku.com/authors/1218", "The Waterbrother")</f>
        <v>The Waterbrother</v>
      </c>
      <c r="J153" s="7" t="s">
        <v>39</v>
      </c>
      <c r="M153" s="7" t="s">
        <v>56</v>
      </c>
      <c r="N153" s="7" t="s">
        <v>47</v>
      </c>
      <c r="O153" s="7" t="s">
        <v>51</v>
      </c>
      <c r="U153" s="7" t="s">
        <v>60</v>
      </c>
      <c r="V153" s="7" t="s">
        <v>71</v>
      </c>
      <c r="Z153" s="7" t="s">
        <v>40</v>
      </c>
      <c r="AA153" s="7" t="s">
        <v>113</v>
      </c>
      <c r="AE153" s="7" t="s">
        <v>43</v>
      </c>
      <c r="AG153" s="9">
        <v>41099.0</v>
      </c>
      <c r="AH153" s="9">
        <v>41139.0</v>
      </c>
    </row>
    <row r="154">
      <c r="A154" s="6" t="str">
        <f>HYPERLINK("https://archive.ph/o/kCXAs/https://web-beta.archive.org/web/20130315140312/http://clopfic.heroku.com/fics/1378", "Darkwatch")</f>
        <v>Darkwatch</v>
      </c>
      <c r="E154" s="7" t="s">
        <v>44</v>
      </c>
      <c r="H154" s="8" t="s">
        <v>213</v>
      </c>
      <c r="I154" s="6" t="str">
        <f>HYPERLINK("https://archive.ph/o/kCXAs/https://web-beta.archive.org/web/20130315140312/http://clopfic.heroku.com/authors/681", "Anonymous Pegasus")</f>
        <v>Anonymous Pegasus</v>
      </c>
      <c r="Q154" s="7" t="s">
        <v>65</v>
      </c>
      <c r="AF154" s="7" t="s">
        <v>41</v>
      </c>
      <c r="AG154" s="9">
        <v>41139.0</v>
      </c>
      <c r="AH154" s="9">
        <v>41139.0</v>
      </c>
    </row>
    <row r="155">
      <c r="A155" s="6" t="str">
        <f>HYPERLINK("https://archive.ph/o/kCXAs/https://web-beta.archive.org/web/20130315140312/http://clopfic.heroku.com/fics/1377", "Identity")</f>
        <v>Identity</v>
      </c>
      <c r="E155" s="7" t="s">
        <v>44</v>
      </c>
      <c r="H155" s="8" t="s">
        <v>214</v>
      </c>
      <c r="I155" s="6" t="str">
        <f>HYPERLINK("https://archive.ph/o/kCXAs/https://web-beta.archive.org/web/20130315140312/http://clopfic.heroku.com/authors/253", "TAW")</f>
        <v>TAW</v>
      </c>
      <c r="J155" s="7" t="s">
        <v>39</v>
      </c>
      <c r="M155" s="7" t="s">
        <v>56</v>
      </c>
      <c r="AG155" s="9">
        <v>41139.0</v>
      </c>
      <c r="AH155" s="9">
        <v>41139.0</v>
      </c>
    </row>
    <row r="156">
      <c r="A156" s="6" t="str">
        <f>HYPERLINK("https://archive.ph/o/kCXAs/https://web-beta.archive.org/web/20130315140312/http://clopfic.heroku.com/fics/732", "Fluttershy's Lessons in Friendshipping")</f>
        <v>Fluttershy's Lessons in Friendshipping</v>
      </c>
      <c r="F156" s="7" t="s">
        <v>52</v>
      </c>
      <c r="H156" s="8" t="s">
        <v>215</v>
      </c>
      <c r="I156" s="6" t="str">
        <f>HYPERLINK("https://archive.ph/o/kCXAs/https://web-beta.archive.org/web/20130315140312/http://clopfic.heroku.com/authors/561", "juicebox")</f>
        <v>juicebox</v>
      </c>
      <c r="J156" s="7" t="s">
        <v>39</v>
      </c>
      <c r="M156" s="7" t="s">
        <v>56</v>
      </c>
      <c r="O156" s="7" t="s">
        <v>51</v>
      </c>
      <c r="P156" s="7" t="s">
        <v>64</v>
      </c>
      <c r="Q156" s="7" t="s">
        <v>65</v>
      </c>
      <c r="AG156" s="9">
        <v>40926.0</v>
      </c>
      <c r="AH156" s="9">
        <v>41139.0</v>
      </c>
    </row>
    <row r="157">
      <c r="A157" s="6" t="str">
        <f>HYPERLINK("https://archive.ph/o/kCXAs/https://web-beta.archive.org/web/20130315140312/http://clopfic.heroku.com/fics/1375", "Multitalented")</f>
        <v>Multitalented</v>
      </c>
      <c r="E157" s="7" t="s">
        <v>44</v>
      </c>
      <c r="H157" s="8" t="s">
        <v>216</v>
      </c>
      <c r="I157" s="6" t="str">
        <f>HYPERLINK("https://archive.ph/o/kCXAs/https://web-beta.archive.org/web/20130315140312/http://clopfic.heroku.com/authors/860", "JujubeLand")</f>
        <v>JujubeLand</v>
      </c>
      <c r="U157" s="7" t="s">
        <v>60</v>
      </c>
      <c r="AE157" s="7" t="s">
        <v>43</v>
      </c>
      <c r="AG157" s="9">
        <v>41138.0</v>
      </c>
      <c r="AH157" s="9">
        <v>41138.0</v>
      </c>
    </row>
    <row r="158">
      <c r="A158" s="6" t="str">
        <f>HYPERLINK("https://archive.ph/o/kCXAs/https://web-beta.archive.org/web/20130315140312/http://clopfic.heroku.com/fics/1374", "It Saves the PinkieDash!")</f>
        <v>It Saves the PinkieDash!</v>
      </c>
      <c r="E158" s="7" t="s">
        <v>44</v>
      </c>
      <c r="H158" s="8" t="s">
        <v>217</v>
      </c>
      <c r="I158" s="6" t="str">
        <f>HYPERLINK("https://archive.ph/o/kCXAs/https://web-beta.archive.org/web/20130315140312/http://clopfic.heroku.com/authors/553", "ImJustAnotherBrony")</f>
        <v>ImJustAnotherBrony</v>
      </c>
      <c r="K158" s="7" t="s">
        <v>49</v>
      </c>
      <c r="M158" s="7" t="s">
        <v>56</v>
      </c>
      <c r="AG158" s="9">
        <v>41138.0</v>
      </c>
      <c r="AH158" s="9">
        <v>41138.0</v>
      </c>
    </row>
    <row r="159">
      <c r="A159" s="6" t="str">
        <f>HYPERLINK("https://archive.ph/o/kCXAs/https://web-beta.archive.org/web/20130315140312/http://clopfic.heroku.com/fics/1201", "Who Rules?: The Ascended")</f>
        <v>Who Rules?: The Ascended</v>
      </c>
      <c r="D159" s="7" t="s">
        <v>37</v>
      </c>
      <c r="E159" s="7" t="s">
        <v>44</v>
      </c>
      <c r="F159" s="7" t="s">
        <v>52</v>
      </c>
      <c r="H159" s="8" t="s">
        <v>218</v>
      </c>
      <c r="I159" s="6" t="str">
        <f>HYPERLINK("https://archive.ph/o/kCXAs/https://web-beta.archive.org/web/20130315140312/http://clopfic.heroku.com/authors/634", "Nom deCheval")</f>
        <v>Nom deCheval</v>
      </c>
      <c r="J159" s="7" t="s">
        <v>39</v>
      </c>
      <c r="N159" s="7" t="s">
        <v>47</v>
      </c>
      <c r="P159" s="7" t="s">
        <v>64</v>
      </c>
      <c r="Q159" s="7" t="s">
        <v>65</v>
      </c>
      <c r="W159" s="7" t="s">
        <v>69</v>
      </c>
      <c r="X159" s="7" t="s">
        <v>107</v>
      </c>
      <c r="AG159" s="9">
        <v>41082.0</v>
      </c>
      <c r="AH159" s="9">
        <v>41136.0</v>
      </c>
    </row>
    <row r="160">
      <c r="A160" s="6" t="str">
        <f>HYPERLINK("https://archive.ph/o/kCXAs/https://web-beta.archive.org/web/20130315140312/http://clopfic.heroku.com/fics/1372", "Mistress Twilight")</f>
        <v>Mistress Twilight</v>
      </c>
      <c r="D160" s="7" t="s">
        <v>37</v>
      </c>
      <c r="G160" s="7" t="s">
        <v>75</v>
      </c>
      <c r="H160" s="8" t="s">
        <v>219</v>
      </c>
      <c r="I160" s="6" t="str">
        <f>HYPERLINK("https://archive.ph/o/kCXAs/https://web-beta.archive.org/web/20130315140312/http://clopfic.heroku.com/authors/1442", "DeiStar")</f>
        <v>DeiStar</v>
      </c>
      <c r="J160" s="7" t="s">
        <v>39</v>
      </c>
      <c r="M160" s="7" t="s">
        <v>56</v>
      </c>
      <c r="N160" s="7" t="s">
        <v>47</v>
      </c>
      <c r="P160" s="7" t="s">
        <v>64</v>
      </c>
      <c r="AG160" s="9">
        <v>41135.0</v>
      </c>
      <c r="AH160" s="9">
        <v>41135.0</v>
      </c>
    </row>
    <row r="161">
      <c r="A161" s="6" t="str">
        <f>HYPERLINK("https://archive.ph/o/kCXAs/https://web-beta.archive.org/web/20130315140312/http://clopfic.heroku.com/fics/1370", "The Prince and the Magician")</f>
        <v>The Prince and the Magician</v>
      </c>
      <c r="E161" s="7" t="s">
        <v>44</v>
      </c>
      <c r="H161" s="8" t="s">
        <v>220</v>
      </c>
      <c r="I161" s="6" t="str">
        <f>HYPERLINK("https://archive.ph/o/kCXAs/https://web-beta.archive.org/web/20130315140312/http://clopfic.heroku.com/authors/1437", "StarswordIsCool")</f>
        <v>StarswordIsCool</v>
      </c>
      <c r="W161" s="7" t="s">
        <v>69</v>
      </c>
      <c r="Z161" s="7" t="s">
        <v>40</v>
      </c>
      <c r="AE161" s="7" t="s">
        <v>43</v>
      </c>
      <c r="AG161" s="9">
        <v>41134.0</v>
      </c>
      <c r="AH161" s="9">
        <v>41134.0</v>
      </c>
    </row>
    <row r="162">
      <c r="A162" s="6" t="str">
        <f>HYPERLINK("https://archive.ph/o/kCXAs/https://web-beta.archive.org/web/20130315140312/http://clopfic.heroku.com/fics/1369", "My Little Porny")</f>
        <v>My Little Porny</v>
      </c>
      <c r="D162" s="7" t="s">
        <v>37</v>
      </c>
      <c r="H162" s="8" t="s">
        <v>221</v>
      </c>
      <c r="I162" s="6" t="str">
        <f>HYPERLINK("https://archive.ph/o/kCXAs/https://web-beta.archive.org/web/20130315140312/http://clopfic.heroku.com/authors/68", "DarkJester")</f>
        <v>DarkJester</v>
      </c>
      <c r="K162" s="7" t="s">
        <v>49</v>
      </c>
      <c r="M162" s="7" t="s">
        <v>56</v>
      </c>
      <c r="Z162" s="7" t="s">
        <v>40</v>
      </c>
      <c r="AE162" s="7" t="s">
        <v>43</v>
      </c>
      <c r="AG162" s="9">
        <v>41134.0</v>
      </c>
      <c r="AH162" s="9">
        <v>41134.0</v>
      </c>
    </row>
    <row r="163">
      <c r="A163" s="6" t="str">
        <f>HYPERLINK("https://archive.ph/o/kCXAs/https://web-beta.archive.org/web/20130315140312/http://clopfic.heroku.com/fics/1368", "Hair today, Gone Tomorrow")</f>
        <v>Hair today, Gone Tomorrow</v>
      </c>
      <c r="D163" s="7" t="s">
        <v>37</v>
      </c>
      <c r="E163" s="7" t="s">
        <v>44</v>
      </c>
      <c r="H163" s="8" t="s">
        <v>222</v>
      </c>
      <c r="I163" s="6" t="str">
        <f>HYPERLINK("https://archive.ph/o/kCXAs/https://web-beta.archive.org/web/20130315140312/http://clopfic.heroku.com/authors/1041", "Tailsopony")</f>
        <v>Tailsopony</v>
      </c>
      <c r="N163" s="7" t="s">
        <v>47</v>
      </c>
      <c r="O163" s="7" t="s">
        <v>51</v>
      </c>
      <c r="AG163" s="9">
        <v>41133.0</v>
      </c>
      <c r="AH163" s="9">
        <v>41133.0</v>
      </c>
    </row>
    <row r="164">
      <c r="A164" s="6" t="str">
        <f>HYPERLINK("https://archive.ph/o/kCXAs/https://web-beta.archive.org/web/20130315140312/http://clopfic.heroku.com/fics/1367", "Vindication")</f>
        <v>Vindication</v>
      </c>
      <c r="G164" s="7" t="s">
        <v>75</v>
      </c>
      <c r="H164" s="8" t="s">
        <v>223</v>
      </c>
      <c r="I164" s="6" t="str">
        <f>HYPERLINK("https://archive.ph/o/kCXAs/https://web-beta.archive.org/web/20130315140312/http://clopfic.heroku.com/authors/1121", "Amit")</f>
        <v>Amit</v>
      </c>
      <c r="J164" s="7" t="s">
        <v>39</v>
      </c>
      <c r="K164" s="7" t="s">
        <v>49</v>
      </c>
      <c r="M164" s="7" t="s">
        <v>56</v>
      </c>
      <c r="N164" s="7" t="s">
        <v>47</v>
      </c>
      <c r="O164" s="7" t="s">
        <v>51</v>
      </c>
      <c r="AG164" s="9">
        <v>41133.0</v>
      </c>
      <c r="AH164" s="9">
        <v>41133.0</v>
      </c>
    </row>
    <row r="165">
      <c r="A165" s="6" t="str">
        <f>HYPERLINK("https://archive.ph/o/kCXAs/https://web-beta.archive.org/web/20130315140312/http://clopfic.heroku.com/fics/1366", "Dash's Birthday Present")</f>
        <v>Dash's Birthday Present</v>
      </c>
      <c r="D165" s="7" t="s">
        <v>37</v>
      </c>
      <c r="E165" s="7" t="s">
        <v>44</v>
      </c>
      <c r="H165" s="8" t="s">
        <v>224</v>
      </c>
      <c r="I165" s="6" t="str">
        <f>HYPERLINK("https://archive.ph/o/kCXAs/https://web-beta.archive.org/web/20130315140312/http://clopfic.heroku.com/authors/262", "kits")</f>
        <v>kits</v>
      </c>
      <c r="J165" s="7" t="s">
        <v>39</v>
      </c>
      <c r="K165" s="7" t="s">
        <v>49</v>
      </c>
      <c r="M165" s="7" t="s">
        <v>56</v>
      </c>
      <c r="AG165" s="9">
        <v>41133.0</v>
      </c>
      <c r="AH165" s="9">
        <v>41133.0</v>
      </c>
    </row>
    <row r="166">
      <c r="A166" s="6" t="str">
        <f>HYPERLINK("https://archive.ph/o/kCXAs/https://web-beta.archive.org/web/20130315140312/http://clopfic.heroku.com/fics/1363", "Twilight's Mis-adventures and an apology to the readers.")</f>
        <v>Twilight's Mis-adventures and an apology to the readers.</v>
      </c>
      <c r="E166" s="7" t="s">
        <v>44</v>
      </c>
      <c r="F166" s="7" t="s">
        <v>52</v>
      </c>
      <c r="H166" s="8" t="s">
        <v>225</v>
      </c>
      <c r="I166" s="6" t="str">
        <f>HYPERLINK("https://archive.ph/o/kCXAs/https://web-beta.archive.org/web/20130315140312/http://clopfic.heroku.com/authors/1434", "Fusion Fool the 3rd")</f>
        <v>Fusion Fool the 3rd</v>
      </c>
      <c r="J166" s="7" t="s">
        <v>39</v>
      </c>
      <c r="K166" s="7" t="s">
        <v>49</v>
      </c>
      <c r="M166" s="7" t="s">
        <v>56</v>
      </c>
      <c r="W166" s="7" t="s">
        <v>69</v>
      </c>
      <c r="Z166" s="7" t="s">
        <v>40</v>
      </c>
      <c r="AB166" s="7" t="s">
        <v>101</v>
      </c>
      <c r="AE166" s="7" t="s">
        <v>43</v>
      </c>
      <c r="AG166" s="9">
        <v>41132.0</v>
      </c>
      <c r="AH166" s="9">
        <v>41132.0</v>
      </c>
    </row>
    <row r="167">
      <c r="A167" s="6" t="str">
        <f>HYPERLINK("https://archive.ph/o/kCXAs/https://web-beta.archive.org/web/20130315140312/http://clopfic.heroku.com/fics/1364", "Shoot the Moon")</f>
        <v>Shoot the Moon</v>
      </c>
      <c r="D167" s="7" t="s">
        <v>37</v>
      </c>
      <c r="E167" s="7" t="s">
        <v>44</v>
      </c>
      <c r="H167" s="8" t="s">
        <v>226</v>
      </c>
      <c r="I167" s="6" t="str">
        <f>HYPERLINK("https://archive.ph/o/kCXAs/https://web-beta.archive.org/web/20130315140312/http://clopfic.heroku.com/authors/626", "Standard Namespace")</f>
        <v>Standard Namespace</v>
      </c>
      <c r="J167" s="7" t="s">
        <v>39</v>
      </c>
      <c r="Q167" s="7" t="s">
        <v>65</v>
      </c>
      <c r="AG167" s="9">
        <v>41132.0</v>
      </c>
      <c r="AH167" s="9">
        <v>41132.0</v>
      </c>
    </row>
    <row r="168">
      <c r="A168" s="6" t="str">
        <f>HYPERLINK("https://archive.ph/o/kCXAs/https://web-beta.archive.org/web/20130315140312/http://clopfic.heroku.com/fics/1362", "Dash's Diary: Pinkie's a Stallion!")</f>
        <v>Dash's Diary: Pinkie's a Stallion!</v>
      </c>
      <c r="E168" s="7" t="s">
        <v>44</v>
      </c>
      <c r="H168" s="8" t="s">
        <v>227</v>
      </c>
      <c r="I168" s="6" t="str">
        <f>HYPERLINK("https://archive.ph/o/kCXAs/https://web-beta.archive.org/web/20130315140312/http://clopfic.heroku.com/authors/253", "TAW")</f>
        <v>TAW</v>
      </c>
      <c r="K168" s="7" t="s">
        <v>49</v>
      </c>
      <c r="M168" s="7" t="s">
        <v>56</v>
      </c>
      <c r="AG168" s="9">
        <v>41132.0</v>
      </c>
      <c r="AH168" s="9">
        <v>41132.0</v>
      </c>
    </row>
    <row r="169">
      <c r="A169" s="3" t="str">
        <f>HYPERLINK("https://archive.ph/o/kCXAs/https://web-beta.archive.org/web/20130315140312/http://clopfic.heroku.com/fics/1358", "Gears' "Sexty Minute Pony" Prompt Collection")</f>
        <v>#ERROR!</v>
      </c>
      <c r="E169" s="7" t="s">
        <v>44</v>
      </c>
      <c r="H169" s="8" t="s">
        <v>228</v>
      </c>
      <c r="I169" s="6" t="str">
        <f>HYPERLINK("https://archive.ph/o/kCXAs/https://web-beta.archive.org/web/20130315140312/http://clopfic.heroku.com/authors/1430", "Whirring Gears")</f>
        <v>Whirring Gears</v>
      </c>
      <c r="J169" s="7" t="s">
        <v>39</v>
      </c>
      <c r="L169" s="7" t="s">
        <v>62</v>
      </c>
      <c r="O169" s="7" t="s">
        <v>51</v>
      </c>
      <c r="Z169" s="7" t="s">
        <v>40</v>
      </c>
      <c r="AF169" s="7" t="s">
        <v>41</v>
      </c>
      <c r="AG169" s="9">
        <v>41131.0</v>
      </c>
      <c r="AH169" s="9">
        <v>41132.0</v>
      </c>
    </row>
    <row r="170">
      <c r="A170" s="6" t="str">
        <f>HYPERLINK("https://archive.ph/o/kCXAs/https://web-beta.archive.org/web/20130315140312/http://clopfic.heroku.com/fics/1303", "Roleplay")</f>
        <v>Roleplay</v>
      </c>
      <c r="E170" s="7" t="s">
        <v>44</v>
      </c>
      <c r="H170" s="8" t="s">
        <v>229</v>
      </c>
      <c r="I170" s="6" t="str">
        <f>HYPERLINK("https://archive.ph/o/kCXAs/https://web-beta.archive.org/web/20130315140312/http://clopfic.heroku.com/authors/253", "TAW")</f>
        <v>TAW</v>
      </c>
      <c r="J170" s="7" t="s">
        <v>39</v>
      </c>
      <c r="K170" s="7" t="s">
        <v>49</v>
      </c>
      <c r="M170" s="7" t="s">
        <v>56</v>
      </c>
      <c r="O170" s="7" t="s">
        <v>51</v>
      </c>
      <c r="AG170" s="9">
        <v>41120.0</v>
      </c>
      <c r="AH170" s="9">
        <v>41132.0</v>
      </c>
    </row>
    <row r="171">
      <c r="A171" s="6" t="str">
        <f>HYPERLINK("https://archive.ph/o/kCXAs/https://web-beta.archive.org/web/20130315140312/http://clopfic.heroku.com/fics/816", "Sophistication and Betrayal")</f>
        <v>Sophistication and Betrayal</v>
      </c>
      <c r="C171" s="7" t="s">
        <v>54</v>
      </c>
      <c r="E171" s="7" t="s">
        <v>44</v>
      </c>
      <c r="F171" s="7" t="s">
        <v>52</v>
      </c>
      <c r="H171" s="8" t="s">
        <v>230</v>
      </c>
      <c r="I171" s="6" t="str">
        <f>HYPERLINK("https://archive.ph/o/kCXAs/https://web-beta.archive.org/web/20130315140312/http://clopfic.heroku.com/authors/1049", "Drefsab")</f>
        <v>Drefsab</v>
      </c>
      <c r="N171" s="7" t="s">
        <v>47</v>
      </c>
      <c r="O171" s="7" t="s">
        <v>51</v>
      </c>
      <c r="Z171" s="7" t="s">
        <v>40</v>
      </c>
      <c r="AF171" s="7" t="s">
        <v>41</v>
      </c>
      <c r="AG171" s="9">
        <v>40962.0</v>
      </c>
      <c r="AH171" s="9">
        <v>41132.0</v>
      </c>
    </row>
    <row r="172">
      <c r="A172" s="6" t="str">
        <f>HYPERLINK("https://archive.ph/o/kCXAs/https://web-beta.archive.org/web/20130315140312/http://clopfic.heroku.com/fics/1360", "Human Experiences ")</f>
        <v>Human Experiences </v>
      </c>
      <c r="C172" s="7" t="s">
        <v>54</v>
      </c>
      <c r="H172" s="8" t="s">
        <v>231</v>
      </c>
      <c r="I172" s="6" t="str">
        <f>HYPERLINK("https://archive.ph/o/kCXAs/https://web-beta.archive.org/web/20130315140312/http://clopfic.heroku.com/authors/1431", "mrss")</f>
        <v>mrss</v>
      </c>
      <c r="AF172" s="7" t="s">
        <v>41</v>
      </c>
      <c r="AG172" s="9">
        <v>41132.0</v>
      </c>
      <c r="AH172" s="9">
        <v>41132.0</v>
      </c>
    </row>
    <row r="173">
      <c r="A173" s="6" t="str">
        <f>HYPERLINK("https://archive.ph/o/kCXAs/https://web-beta.archive.org/web/20130315140312/http://clopfic.heroku.com/fics/1083", "Ponyville University")</f>
        <v>Ponyville University</v>
      </c>
      <c r="C173" s="7" t="s">
        <v>54</v>
      </c>
      <c r="E173" s="7" t="s">
        <v>44</v>
      </c>
      <c r="F173" s="7" t="s">
        <v>52</v>
      </c>
      <c r="H173" s="8" t="s">
        <v>232</v>
      </c>
      <c r="I173" s="6" t="str">
        <f>HYPERLINK("https://archive.ph/o/kCXAs/https://web-beta.archive.org/web/20130315140312/http://clopfic.heroku.com/authors/70", "SleeplessBrony")</f>
        <v>SleeplessBrony</v>
      </c>
      <c r="J173" s="7" t="s">
        <v>39</v>
      </c>
      <c r="M173" s="7" t="s">
        <v>56</v>
      </c>
      <c r="AG173" s="9">
        <v>41046.0</v>
      </c>
      <c r="AH173" s="9">
        <v>41131.0</v>
      </c>
    </row>
    <row r="174">
      <c r="A174" s="6" t="str">
        <f>HYPERLINK("https://archive.ph/o/kCXAs/https://web-beta.archive.org/web/20130315140312/http://clopfic.heroku.com/fics/1359", "Taking Control")</f>
        <v>Taking Control</v>
      </c>
      <c r="E174" s="7" t="s">
        <v>44</v>
      </c>
      <c r="H174" s="8" t="s">
        <v>233</v>
      </c>
      <c r="I174" s="6" t="str">
        <f>HYPERLINK("https://archive.ph/o/kCXAs/https://web-beta.archive.org/web/20130315140312/http://clopfic.heroku.com/authors/860", "JujubeLand")</f>
        <v>JujubeLand</v>
      </c>
      <c r="O174" s="7" t="s">
        <v>51</v>
      </c>
      <c r="V174" s="7" t="s">
        <v>71</v>
      </c>
      <c r="AG174" s="9">
        <v>41131.0</v>
      </c>
      <c r="AH174" s="9">
        <v>41131.0</v>
      </c>
    </row>
    <row r="175">
      <c r="A175" s="6" t="str">
        <f>HYPERLINK("https://archive.ph/o/kCXAs/https://web-beta.archive.org/web/20130315140312/http://clopfic.heroku.com/fics/1355", "Too Much Flexibility")</f>
        <v>Too Much Flexibility</v>
      </c>
      <c r="E175" s="7" t="s">
        <v>44</v>
      </c>
      <c r="H175" s="8" t="s">
        <v>234</v>
      </c>
      <c r="I175" s="6" t="str">
        <f>HYPERLINK("https://archive.ph/o/kCXAs/https://web-beta.archive.org/web/20130315140312/http://clopfic.heroku.com/authors/626", "Standard Namespace")</f>
        <v>Standard Namespace</v>
      </c>
      <c r="AE175" s="7" t="s">
        <v>43</v>
      </c>
      <c r="AG175" s="9">
        <v>41130.0</v>
      </c>
      <c r="AH175" s="9">
        <v>41130.0</v>
      </c>
    </row>
    <row r="176">
      <c r="A176" s="6" t="str">
        <f>HYPERLINK("https://archive.ph/o/kCXAs/https://web-beta.archive.org/web/20130315140312/http://clopfic.heroku.com/fics/1352", "Rainbows Love To Learn!")</f>
        <v>Rainbows Love To Learn!</v>
      </c>
      <c r="C176" s="7" t="s">
        <v>54</v>
      </c>
      <c r="E176" s="7" t="s">
        <v>44</v>
      </c>
      <c r="H176" s="8" t="s">
        <v>235</v>
      </c>
      <c r="I176" s="6" t="str">
        <f>HYPERLINK("https://archive.ph/o/kCXAs/https://web-beta.archive.org/web/20130315140312/http://clopfic.heroku.com/authors/1173", "Firefox69")</f>
        <v>Firefox69</v>
      </c>
      <c r="M176" s="7" t="s">
        <v>56</v>
      </c>
      <c r="AD176" s="7" t="s">
        <v>111</v>
      </c>
      <c r="AG176" s="9">
        <v>41130.0</v>
      </c>
      <c r="AH176" s="9">
        <v>41130.0</v>
      </c>
    </row>
    <row r="177">
      <c r="A177" s="6" t="str">
        <f>HYPERLINK("https://archive.ph/o/kCXAs/https://web-beta.archive.org/web/20130315140312/http://clopfic.heroku.com/fics/1351", "Winter's Bloom")</f>
        <v>Winter's Bloom</v>
      </c>
      <c r="H177" s="8" t="s">
        <v>236</v>
      </c>
      <c r="I177" s="6" t="str">
        <f>HYPERLINK("https://archive.ph/o/kCXAs/https://web-beta.archive.org/web/20130315140312/http://clopfic.heroku.com/authors/1452", "Bookworm S")</f>
        <v>Bookworm S</v>
      </c>
      <c r="L177" s="7" t="s">
        <v>62</v>
      </c>
      <c r="S177" s="7" t="s">
        <v>68</v>
      </c>
      <c r="AG177" s="9">
        <v>41129.0</v>
      </c>
      <c r="AH177" s="9">
        <v>41129.0</v>
      </c>
    </row>
    <row r="178">
      <c r="A178" s="6" t="str">
        <f>HYPERLINK("https://archive.ph/o/kCXAs/https://web-beta.archive.org/web/20130315140312/http://clopfic.heroku.com/fics/1350", "Magic Touch")</f>
        <v>Magic Touch</v>
      </c>
      <c r="E178" s="7" t="s">
        <v>44</v>
      </c>
      <c r="H178" s="8" t="s">
        <v>237</v>
      </c>
      <c r="I178" s="6" t="str">
        <f t="shared" ref="I178:I179" si="7">HYPERLINK("https://archive.ph/o/kCXAs/https://web-beta.archive.org/web/20130315140312/http://clopfic.heroku.com/authors/860", "JujubeLand")</f>
        <v>JujubeLand</v>
      </c>
      <c r="J178" s="7" t="s">
        <v>39</v>
      </c>
      <c r="AE178" s="7" t="s">
        <v>43</v>
      </c>
      <c r="AG178" s="9">
        <v>41129.0</v>
      </c>
      <c r="AH178" s="9">
        <v>41129.0</v>
      </c>
    </row>
    <row r="179">
      <c r="A179" s="6" t="str">
        <f>HYPERLINK("https://archive.ph/o/kCXAs/https://web-beta.archive.org/web/20130315140312/http://clopfic.heroku.com/fics/1349", "The Scent of Lilacs")</f>
        <v>The Scent of Lilacs</v>
      </c>
      <c r="E179" s="7" t="s">
        <v>44</v>
      </c>
      <c r="H179" s="8" t="s">
        <v>238</v>
      </c>
      <c r="I179" s="6" t="str">
        <f t="shared" si="7"/>
        <v>JujubeLand</v>
      </c>
      <c r="AE179" s="7" t="s">
        <v>43</v>
      </c>
      <c r="AG179" s="9">
        <v>41129.0</v>
      </c>
      <c r="AH179" s="9">
        <v>41129.0</v>
      </c>
    </row>
    <row r="180">
      <c r="A180" s="6" t="str">
        <f>HYPERLINK("https://archive.ph/o/kCXAs/https://web-beta.archive.org/web/20130315140312/http://clopfic.heroku.com/fics/1348", "Forever and Always")</f>
        <v>Forever and Always</v>
      </c>
      <c r="B180" s="7" t="s">
        <v>36</v>
      </c>
      <c r="H180" s="8" t="s">
        <v>239</v>
      </c>
      <c r="I180" s="6" t="str">
        <f>HYPERLINK("https://archive.ph/o/kCXAs/https://web-beta.archive.org/web/20130315140312/http://clopfic.heroku.com/authors/546", "Rainbowdashyy")</f>
        <v>Rainbowdashyy</v>
      </c>
      <c r="J180" s="7" t="s">
        <v>39</v>
      </c>
      <c r="AA180" s="7" t="s">
        <v>113</v>
      </c>
      <c r="AE180" s="7" t="s">
        <v>43</v>
      </c>
      <c r="AG180" s="9">
        <v>41129.0</v>
      </c>
      <c r="AH180" s="9">
        <v>41129.0</v>
      </c>
    </row>
    <row r="181">
      <c r="A181" s="6" t="str">
        <f>HYPERLINK("https://archive.ph/o/kCXAs/https://web-beta.archive.org/web/20130315140312/http://clopfic.heroku.com/fics/288", "Preggity")</f>
        <v>Preggity</v>
      </c>
      <c r="C181" s="7" t="s">
        <v>54</v>
      </c>
      <c r="D181" s="7" t="s">
        <v>37</v>
      </c>
      <c r="H181" s="8" t="s">
        <v>240</v>
      </c>
      <c r="I181" s="6" t="str">
        <f>HYPERLINK("https://archive.ph/o/kCXAs/https://web-beta.archive.org/web/20130315140312/http://clopfic.heroku.com/authors/98", "Sanguiniuschan")</f>
        <v>Sanguiniuschan</v>
      </c>
      <c r="J181" s="7" t="s">
        <v>39</v>
      </c>
      <c r="M181" s="7" t="s">
        <v>56</v>
      </c>
      <c r="N181" s="7" t="s">
        <v>47</v>
      </c>
      <c r="Z181" s="7" t="s">
        <v>40</v>
      </c>
      <c r="AF181" s="7" t="s">
        <v>41</v>
      </c>
      <c r="AG181" s="9">
        <v>40716.0</v>
      </c>
      <c r="AH181" s="9">
        <v>41128.0</v>
      </c>
    </row>
    <row r="182">
      <c r="A182" s="6" t="str">
        <f>HYPERLINK("https://archive.ph/o/kCXAs/https://web-beta.archive.org/web/20130315140312/http://clopfic.heroku.com/fics/1121", "Spike and His Six Lovely Ladies")</f>
        <v>Spike and His Six Lovely Ladies</v>
      </c>
      <c r="D182" s="7" t="s">
        <v>37</v>
      </c>
      <c r="E182" s="7" t="s">
        <v>44</v>
      </c>
      <c r="F182" s="7" t="s">
        <v>52</v>
      </c>
      <c r="H182" s="8" t="s">
        <v>241</v>
      </c>
      <c r="I182" s="6" t="str">
        <f>HYPERLINK("https://archive.ph/o/kCXAs/https://web-beta.archive.org/web/20130315140312/http://clopfic.heroku.com/authors/947", "Path_of_Cloud")</f>
        <v>Path_of_Cloud</v>
      </c>
      <c r="J182" s="7" t="s">
        <v>39</v>
      </c>
      <c r="K182" s="7" t="s">
        <v>49</v>
      </c>
      <c r="L182" s="7" t="s">
        <v>62</v>
      </c>
      <c r="M182" s="7" t="s">
        <v>56</v>
      </c>
      <c r="N182" s="7" t="s">
        <v>47</v>
      </c>
      <c r="O182" s="7" t="s">
        <v>51</v>
      </c>
      <c r="R182" s="7" t="s">
        <v>66</v>
      </c>
      <c r="AG182" s="9">
        <v>41058.0</v>
      </c>
      <c r="AH182" s="9">
        <v>41128.0</v>
      </c>
    </row>
    <row r="183">
      <c r="A183" s="6" t="str">
        <f>HYPERLINK("https://archive.ph/o/kCXAs/https://web-beta.archive.org/web/20130315140312/http://clopfic.heroku.com/fics/1345", "Shivered Timbers' Sexty Minute Ponies")</f>
        <v>Shivered Timbers' Sexty Minute Ponies</v>
      </c>
      <c r="D183" s="7" t="s">
        <v>37</v>
      </c>
      <c r="H183" s="8" t="s">
        <v>242</v>
      </c>
      <c r="I183" s="6" t="str">
        <f>HYPERLINK("https://archive.ph/o/kCXAs/https://web-beta.archive.org/web/20130315140312/http://clopfic.heroku.com/authors/378", "Shivered Timbers")</f>
        <v>Shivered Timbers</v>
      </c>
      <c r="J183" s="7" t="s">
        <v>39</v>
      </c>
      <c r="K183" s="7" t="s">
        <v>49</v>
      </c>
      <c r="L183" s="7" t="s">
        <v>62</v>
      </c>
      <c r="M183" s="7" t="s">
        <v>56</v>
      </c>
      <c r="N183" s="7" t="s">
        <v>47</v>
      </c>
      <c r="O183" s="7" t="s">
        <v>51</v>
      </c>
      <c r="Z183" s="7" t="s">
        <v>40</v>
      </c>
      <c r="AE183" s="7" t="s">
        <v>43</v>
      </c>
      <c r="AF183" s="7" t="s">
        <v>41</v>
      </c>
      <c r="AG183" s="9">
        <v>41128.0</v>
      </c>
      <c r="AH183" s="9">
        <v>41128.0</v>
      </c>
    </row>
    <row r="184">
      <c r="A184" s="6" t="str">
        <f>HYPERLINK("https://archive.ph/o/kCXAs/https://web-beta.archive.org/web/20130315140312/http://clopfic.heroku.com/fics/1341", "Always Horny")</f>
        <v>Always Horny</v>
      </c>
      <c r="H184" s="8" t="s">
        <v>243</v>
      </c>
      <c r="I184" s="6" t="str">
        <f>HYPERLINK("https://archive.ph/o/kCXAs/https://web-beta.archive.org/web/20130315140312/http://clopfic.heroku.com/authors/626", "Standard Namespace")</f>
        <v>Standard Namespace</v>
      </c>
      <c r="J184" s="7" t="s">
        <v>39</v>
      </c>
      <c r="N184" s="7" t="s">
        <v>47</v>
      </c>
      <c r="Z184" s="7" t="s">
        <v>40</v>
      </c>
      <c r="AB184" s="7" t="s">
        <v>101</v>
      </c>
      <c r="AE184" s="7" t="s">
        <v>43</v>
      </c>
      <c r="AG184" s="9">
        <v>41126.0</v>
      </c>
      <c r="AH184" s="9">
        <v>41126.0</v>
      </c>
    </row>
    <row r="185">
      <c r="A185" s="6" t="str">
        <f>HYPERLINK("https://archive.ph/o/kCXAs/https://web-beta.archive.org/web/20130315140312/http://clopfic.heroku.com/fics/1339", "Fluttery One")</f>
        <v>Fluttery One</v>
      </c>
      <c r="C185" s="7" t="s">
        <v>54</v>
      </c>
      <c r="E185" s="7" t="s">
        <v>44</v>
      </c>
      <c r="H185" s="8" t="s">
        <v>244</v>
      </c>
      <c r="I185" s="6" t="str">
        <f>HYPERLINK("https://archive.ph/o/kCXAs/https://web-beta.archive.org/web/20130315140312/http://clopfic.heroku.com/authors/280", "BDNFatlus")</f>
        <v>BDNFatlus</v>
      </c>
      <c r="O185" s="7" t="s">
        <v>51</v>
      </c>
      <c r="AG185" s="9">
        <v>41126.0</v>
      </c>
      <c r="AH185" s="9">
        <v>41126.0</v>
      </c>
    </row>
    <row r="186">
      <c r="A186" s="6" t="str">
        <f>HYPERLINK("https://archive.ph/o/kCXAs/https://web-beta.archive.org/web/20130315140312/http://clopfic.heroku.com/fics/1338", "Chrysalis' Pony Dinner")</f>
        <v>Chrysalis' Pony Dinner</v>
      </c>
      <c r="B186" s="7" t="s">
        <v>36</v>
      </c>
      <c r="D186" s="7" t="s">
        <v>37</v>
      </c>
      <c r="H186" s="8" t="s">
        <v>245</v>
      </c>
      <c r="I186" s="6" t="str">
        <f>HYPERLINK("https://archive.ph/o/kCXAs/https://web-beta.archive.org/web/20130315140312/http://clopfic.heroku.com/authors/1407", "Sy0p")</f>
        <v>Sy0p</v>
      </c>
      <c r="J186" s="7" t="s">
        <v>39</v>
      </c>
      <c r="K186" s="7" t="s">
        <v>49</v>
      </c>
      <c r="M186" s="7" t="s">
        <v>56</v>
      </c>
      <c r="N186" s="7" t="s">
        <v>47</v>
      </c>
      <c r="O186" s="7" t="s">
        <v>51</v>
      </c>
      <c r="Z186" s="7" t="s">
        <v>40</v>
      </c>
      <c r="AF186" s="7" t="s">
        <v>41</v>
      </c>
      <c r="AG186" s="9">
        <v>41126.0</v>
      </c>
      <c r="AH186" s="9">
        <v>41126.0</v>
      </c>
    </row>
    <row r="187">
      <c r="A187" s="6" t="str">
        <f>HYPERLINK("https://archive.ph/o/kCXAs/https://web-beta.archive.org/web/20130315140312/http://clopfic.heroku.com/fics/1336", "Twilight's Secret Clop Fun!")</f>
        <v>Twilight's Secret Clop Fun!</v>
      </c>
      <c r="D187" s="7" t="s">
        <v>37</v>
      </c>
      <c r="H187" s="8" t="s">
        <v>246</v>
      </c>
      <c r="I187" s="6" t="str">
        <f>HYPERLINK("https://archive.ph/o/kCXAs/https://web-beta.archive.org/web/20130315140312/http://clopfic.heroku.com/authors/235", "Nostalgia Schmaltz")</f>
        <v>Nostalgia Schmaltz</v>
      </c>
      <c r="J187" s="7" t="s">
        <v>39</v>
      </c>
      <c r="K187" s="7" t="s">
        <v>49</v>
      </c>
      <c r="AG187" s="9">
        <v>41126.0</v>
      </c>
      <c r="AH187" s="9">
        <v>41126.0</v>
      </c>
    </row>
    <row r="188">
      <c r="A188" s="6" t="str">
        <f>HYPERLINK("https://archive.ph/o/kCXAs/https://web-beta.archive.org/web/20130315140312/http://clopfic.heroku.com/fics/1334", "Caught")</f>
        <v>Caught</v>
      </c>
      <c r="E188" s="7" t="s">
        <v>44</v>
      </c>
      <c r="H188" s="8" t="s">
        <v>247</v>
      </c>
      <c r="I188" s="6" t="str">
        <f t="shared" ref="I188:I189" si="8">HYPERLINK("https://archive.ph/o/kCXAs/https://web-beta.archive.org/web/20130315140312/http://clopfic.heroku.com/authors/262", "kits")</f>
        <v>kits</v>
      </c>
      <c r="M188" s="7" t="s">
        <v>56</v>
      </c>
      <c r="O188" s="7" t="s">
        <v>51</v>
      </c>
      <c r="AG188" s="9">
        <v>41125.0</v>
      </c>
      <c r="AH188" s="9">
        <v>41125.0</v>
      </c>
    </row>
    <row r="189">
      <c r="A189" s="6" t="str">
        <f>HYPERLINK("https://archive.ph/o/kCXAs/https://web-beta.archive.org/web/20130315140312/http://clopfic.heroku.com/fics/1333", "Everypony Loves Dash")</f>
        <v>Everypony Loves Dash</v>
      </c>
      <c r="D189" s="7" t="s">
        <v>37</v>
      </c>
      <c r="E189" s="7" t="s">
        <v>44</v>
      </c>
      <c r="H189" s="8" t="s">
        <v>248</v>
      </c>
      <c r="I189" s="6" t="str">
        <f t="shared" si="8"/>
        <v>kits</v>
      </c>
      <c r="K189" s="7" t="s">
        <v>49</v>
      </c>
      <c r="L189" s="7" t="s">
        <v>62</v>
      </c>
      <c r="AG189" s="9">
        <v>41125.0</v>
      </c>
      <c r="AH189" s="9">
        <v>41125.0</v>
      </c>
    </row>
    <row r="190">
      <c r="A190" s="6" t="str">
        <f>HYPERLINK("https://archive.ph/o/kCXAs/https://web-beta.archive.org/web/20130315140312/http://clopfic.heroku.com/fics/1332", "A Sucky Evening")</f>
        <v>A Sucky Evening</v>
      </c>
      <c r="H190" s="8" t="s">
        <v>249</v>
      </c>
      <c r="I190" s="6" t="str">
        <f>HYPERLINK("https://archive.ph/o/kCXAs/https://web-beta.archive.org/web/20130315140312/http://clopfic.heroku.com/authors/626", "Standard Namespace")</f>
        <v>Standard Namespace</v>
      </c>
      <c r="J190" s="7" t="s">
        <v>39</v>
      </c>
      <c r="AE190" s="7" t="s">
        <v>43</v>
      </c>
      <c r="AF190" s="7" t="s">
        <v>41</v>
      </c>
      <c r="AG190" s="9">
        <v>41125.0</v>
      </c>
      <c r="AH190" s="9">
        <v>41125.0</v>
      </c>
    </row>
    <row r="191">
      <c r="A191" s="6" t="str">
        <f>HYPERLINK("https://archive.ph/o/kCXAs/https://web-beta.archive.org/web/20130315140312/http://clopfic.heroku.com/fics/1331", "Du Fleuriste Boutique")</f>
        <v>Du Fleuriste Boutique</v>
      </c>
      <c r="E191" s="7" t="s">
        <v>44</v>
      </c>
      <c r="H191" s="8" t="s">
        <v>250</v>
      </c>
      <c r="I191" s="6" t="str">
        <f>HYPERLINK("https://archive.ph/o/kCXAs/https://web-beta.archive.org/web/20130315140312/http://clopfic.heroku.com/authors/1391", "IrisFanFiction")</f>
        <v>IrisFanFiction</v>
      </c>
      <c r="N191" s="7" t="s">
        <v>47</v>
      </c>
      <c r="Z191" s="7" t="s">
        <v>40</v>
      </c>
      <c r="AF191" s="7" t="s">
        <v>41</v>
      </c>
      <c r="AG191" s="9">
        <v>41125.0</v>
      </c>
      <c r="AH191" s="9">
        <v>41125.0</v>
      </c>
    </row>
    <row r="192">
      <c r="A192" s="6" t="str">
        <f>HYPERLINK("https://archive.ph/o/kCXAs/https://web-beta.archive.org/web/20130315140312/http://clopfic.heroku.com/fics/1330", "Lunch Break")</f>
        <v>Lunch Break</v>
      </c>
      <c r="E192" s="7" t="s">
        <v>44</v>
      </c>
      <c r="H192" s="8" t="s">
        <v>251</v>
      </c>
      <c r="I192" s="6" t="str">
        <f>HYPERLINK("https://archive.ph/o/kCXAs/https://web-beta.archive.org/web/20130315140312/http://clopfic.heroku.com/authors/860", "JujubeLand")</f>
        <v>JujubeLand</v>
      </c>
      <c r="L192" s="7" t="s">
        <v>62</v>
      </c>
      <c r="AE192" s="7" t="s">
        <v>43</v>
      </c>
      <c r="AG192" s="9">
        <v>41125.0</v>
      </c>
      <c r="AH192" s="9">
        <v>41125.0</v>
      </c>
    </row>
    <row r="193">
      <c r="A193" s="6" t="str">
        <f>HYPERLINK("https://archive.ph/o/kCXAs/https://web-beta.archive.org/web/20130315140312/http://clopfic.heroku.com/fics/1329", "Surprise")</f>
        <v>Surprise</v>
      </c>
      <c r="E193" s="7" t="s">
        <v>44</v>
      </c>
      <c r="H193" s="8" t="s">
        <v>252</v>
      </c>
      <c r="I193" s="6" t="str">
        <f>HYPERLINK("https://archive.ph/o/kCXAs/https://web-beta.archive.org/web/20130315140312/http://clopfic.heroku.com/authors/253", "TAW")</f>
        <v>TAW</v>
      </c>
      <c r="K193" s="7" t="s">
        <v>49</v>
      </c>
      <c r="M193" s="7" t="s">
        <v>56</v>
      </c>
      <c r="O193" s="7" t="s">
        <v>51</v>
      </c>
      <c r="AG193" s="9">
        <v>41125.0</v>
      </c>
      <c r="AH193" s="9">
        <v>41125.0</v>
      </c>
    </row>
    <row r="194">
      <c r="A194" s="6" t="str">
        <f>HYPERLINK("https://archive.ph/o/kCXAs/https://web-beta.archive.org/web/20130315140312/http://clopfic.heroku.com/fics/1324", "Love is in the Bladder")</f>
        <v>Love is in the Bladder</v>
      </c>
      <c r="D194" s="7" t="s">
        <v>37</v>
      </c>
      <c r="H194" s="8" t="s">
        <v>253</v>
      </c>
      <c r="I194" s="6" t="str">
        <f>HYPERLINK("https://archive.ph/o/kCXAs/https://web-beta.archive.org/web/20130315140312/http://clopfic.heroku.com/authors/237", "HighLevelTeen")</f>
        <v>HighLevelTeen</v>
      </c>
      <c r="J194" s="7" t="s">
        <v>39</v>
      </c>
      <c r="M194" s="7" t="s">
        <v>56</v>
      </c>
      <c r="R194" s="7" t="s">
        <v>66</v>
      </c>
      <c r="AG194" s="9">
        <v>41124.0</v>
      </c>
      <c r="AH194" s="9">
        <v>41124.0</v>
      </c>
    </row>
    <row r="195">
      <c r="A195" s="6" t="str">
        <f>HYPERLINK("https://archive.ph/o/kCXAs/https://web-beta.archive.org/web/20130315140312/http://clopfic.heroku.com/fics/1312", "Seven Shades of Rainbow")</f>
        <v>Seven Shades of Rainbow</v>
      </c>
      <c r="D195" s="7" t="s">
        <v>37</v>
      </c>
      <c r="E195" s="7" t="s">
        <v>44</v>
      </c>
      <c r="H195" s="8" t="s">
        <v>254</v>
      </c>
      <c r="I195" s="6" t="str">
        <f>HYPERLINK("https://archive.ph/o/kCXAs/https://web-beta.archive.org/web/20130315140312/http://clopfic.heroku.com/authors/1349", "Damocles23")</f>
        <v>Damocles23</v>
      </c>
      <c r="J195" s="7" t="s">
        <v>39</v>
      </c>
      <c r="K195" s="7" t="s">
        <v>49</v>
      </c>
      <c r="L195" s="7" t="s">
        <v>62</v>
      </c>
      <c r="M195" s="7" t="s">
        <v>56</v>
      </c>
      <c r="N195" s="7" t="s">
        <v>47</v>
      </c>
      <c r="O195" s="7" t="s">
        <v>51</v>
      </c>
      <c r="Z195" s="7" t="s">
        <v>40</v>
      </c>
      <c r="AE195" s="7" t="s">
        <v>43</v>
      </c>
      <c r="AG195" s="9">
        <v>41123.0</v>
      </c>
      <c r="AH195" s="9">
        <v>41123.0</v>
      </c>
    </row>
    <row r="196">
      <c r="A196" s="6" t="str">
        <f>HYPERLINK("https://archive.ph/o/kCXAs/https://web-beta.archive.org/web/20130315140312/http://clopfic.heroku.com/fics/440", "Spike's Sexual Revolution")</f>
        <v>Spike's Sexual Revolution</v>
      </c>
      <c r="D196" s="7" t="s">
        <v>37</v>
      </c>
      <c r="E196" s="7" t="s">
        <v>44</v>
      </c>
      <c r="H196" s="8" t="s">
        <v>255</v>
      </c>
      <c r="I196" s="6" t="str">
        <f>HYPERLINK("https://archive.ph/o/kCXAs/https://web-beta.archive.org/web/20130315140312/http://clopfic.heroku.com/authors/347", "Jon Roy Smits")</f>
        <v>Jon Roy Smits</v>
      </c>
      <c r="J196" s="7" t="s">
        <v>39</v>
      </c>
      <c r="K196" s="7" t="s">
        <v>49</v>
      </c>
      <c r="L196" s="7" t="s">
        <v>62</v>
      </c>
      <c r="M196" s="7" t="s">
        <v>56</v>
      </c>
      <c r="N196" s="7" t="s">
        <v>47</v>
      </c>
      <c r="Q196" s="7" t="s">
        <v>65</v>
      </c>
      <c r="R196" s="7" t="s">
        <v>66</v>
      </c>
      <c r="T196" s="7" t="s">
        <v>59</v>
      </c>
      <c r="W196" s="7" t="s">
        <v>69</v>
      </c>
      <c r="Z196" s="7" t="s">
        <v>40</v>
      </c>
      <c r="AE196" s="7" t="s">
        <v>43</v>
      </c>
      <c r="AG196" s="9">
        <v>40780.0</v>
      </c>
      <c r="AH196" s="9">
        <v>41123.0</v>
      </c>
    </row>
    <row r="197">
      <c r="A197" s="6" t="str">
        <f>HYPERLINK("https://archive.ph/o/kCXAs/https://web-beta.archive.org/web/20130315140312/http://clopfic.heroku.com/fics/1306", "The Time Trixie's Gang Saved the Universe")</f>
        <v>The Time Trixie's Gang Saved the Universe</v>
      </c>
      <c r="E197" s="7" t="s">
        <v>44</v>
      </c>
      <c r="F197" s="7" t="s">
        <v>52</v>
      </c>
      <c r="G197" s="7" t="s">
        <v>75</v>
      </c>
      <c r="H197" s="8" t="s">
        <v>256</v>
      </c>
      <c r="I197" s="6" t="str">
        <f>HYPERLINK("https://archive.ph/o/kCXAs/https://web-beta.archive.org/web/20130315140312/http://clopfic.heroku.com/authors/1377", "Th3Overseer")</f>
        <v>Th3Overseer</v>
      </c>
      <c r="J197" s="7" t="s">
        <v>39</v>
      </c>
      <c r="K197" s="7" t="s">
        <v>49</v>
      </c>
      <c r="L197" s="7" t="s">
        <v>62</v>
      </c>
      <c r="M197" s="7" t="s">
        <v>56</v>
      </c>
      <c r="N197" s="7" t="s">
        <v>47</v>
      </c>
      <c r="O197" s="7" t="s">
        <v>51</v>
      </c>
      <c r="R197" s="7" t="s">
        <v>66</v>
      </c>
      <c r="W197" s="7" t="s">
        <v>69</v>
      </c>
      <c r="Z197" s="7" t="s">
        <v>40</v>
      </c>
      <c r="AA197" s="7" t="s">
        <v>113</v>
      </c>
      <c r="AE197" s="7" t="s">
        <v>43</v>
      </c>
      <c r="AG197" s="9">
        <v>41121.0</v>
      </c>
      <c r="AH197" s="9">
        <v>41122.0</v>
      </c>
    </row>
    <row r="198">
      <c r="A198" s="6" t="str">
        <f>HYPERLINK("https://archive.ph/o/kCXAs/https://web-beta.archive.org/web/20130315140312/http://clopfic.heroku.com/fics/1311", "Drawn into twilight")</f>
        <v>Drawn into twilight</v>
      </c>
      <c r="C198" s="7" t="s">
        <v>54</v>
      </c>
      <c r="E198" s="7" t="s">
        <v>44</v>
      </c>
      <c r="H198" s="8" t="s">
        <v>257</v>
      </c>
      <c r="I198" s="6" t="str">
        <f>HYPERLINK("https://archive.ph/o/kCXAs/https://web-beta.archive.org/web/20130315140312/http://clopfic.heroku.com/authors/1341", "ryan223456")</f>
        <v>ryan223456</v>
      </c>
      <c r="J198" s="7" t="s">
        <v>39</v>
      </c>
      <c r="Z198" s="7" t="s">
        <v>40</v>
      </c>
      <c r="AF198" s="7" t="s">
        <v>41</v>
      </c>
      <c r="AG198" s="9">
        <v>41122.0</v>
      </c>
      <c r="AH198" s="9">
        <v>41122.0</v>
      </c>
    </row>
    <row r="199">
      <c r="A199" s="6" t="str">
        <f>HYPERLINK("https://archive.ph/o/kCXAs/https://web-beta.archive.org/web/20130315140312/http://clopfic.heroku.com/fics/1310", "Möbius Orgy")</f>
        <v>Möbius Orgy</v>
      </c>
      <c r="H199" s="8" t="s">
        <v>258</v>
      </c>
      <c r="I199" s="6" t="str">
        <f>HYPERLINK("https://archive.ph/o/kCXAs/https://web-beta.archive.org/web/20130315140312/http://clopfic.heroku.com/authors/626", "Standard Namespace")</f>
        <v>Standard Namespace</v>
      </c>
      <c r="J199" s="7" t="s">
        <v>39</v>
      </c>
      <c r="K199" s="7" t="s">
        <v>49</v>
      </c>
      <c r="L199" s="7" t="s">
        <v>62</v>
      </c>
      <c r="M199" s="7" t="s">
        <v>56</v>
      </c>
      <c r="N199" s="7" t="s">
        <v>47</v>
      </c>
      <c r="O199" s="7" t="s">
        <v>51</v>
      </c>
      <c r="S199" s="7" t="s">
        <v>68</v>
      </c>
      <c r="T199" s="7" t="s">
        <v>59</v>
      </c>
      <c r="U199" s="7" t="s">
        <v>60</v>
      </c>
      <c r="AG199" s="9">
        <v>41122.0</v>
      </c>
      <c r="AH199" s="9">
        <v>41122.0</v>
      </c>
    </row>
    <row r="200">
      <c r="A200" s="6" t="str">
        <f>HYPERLINK("https://archive.ph/o/kCXAs/https://web-beta.archive.org/web/20130315140312/http://clopfic.heroku.com/fics/1308", "Nostalgia Schmaltz Speedclop Entry #1")</f>
        <v>Nostalgia Schmaltz Speedclop Entry #1</v>
      </c>
      <c r="B200" s="7" t="s">
        <v>36</v>
      </c>
      <c r="D200" s="7" t="s">
        <v>37</v>
      </c>
      <c r="H200" s="8" t="s">
        <v>259</v>
      </c>
      <c r="I200" s="6" t="str">
        <f>HYPERLINK("https://archive.ph/o/kCXAs/https://web-beta.archive.org/web/20130315140312/http://clopfic.heroku.com/authors/235", "Nostalgia Schmaltz")</f>
        <v>Nostalgia Schmaltz</v>
      </c>
      <c r="O200" s="7" t="s">
        <v>51</v>
      </c>
      <c r="Q200" s="7" t="s">
        <v>65</v>
      </c>
      <c r="R200" s="7" t="s">
        <v>66</v>
      </c>
      <c r="T200" s="7" t="s">
        <v>59</v>
      </c>
      <c r="V200" s="7" t="s">
        <v>71</v>
      </c>
      <c r="Z200" s="7" t="s">
        <v>40</v>
      </c>
      <c r="AB200" s="7" t="s">
        <v>101</v>
      </c>
      <c r="AG200" s="9">
        <v>41121.0</v>
      </c>
      <c r="AH200" s="9">
        <v>41122.0</v>
      </c>
    </row>
    <row r="201">
      <c r="A201" s="6" t="str">
        <f>HYPERLINK("https://archive.ph/o/kCXAs/https://web-beta.archive.org/web/20130315140312/http://clopfic.heroku.com/fics/1307", "Rainbows in the Night")</f>
        <v>Rainbows in the Night</v>
      </c>
      <c r="E201" s="7" t="s">
        <v>44</v>
      </c>
      <c r="H201" s="8" t="s">
        <v>260</v>
      </c>
      <c r="I201" s="6" t="str">
        <f>HYPERLINK("https://archive.ph/o/kCXAs/https://web-beta.archive.org/web/20130315140312/http://clopfic.heroku.com/authors/681", "Anonymous Pegasus")</f>
        <v>Anonymous Pegasus</v>
      </c>
      <c r="M201" s="7" t="s">
        <v>56</v>
      </c>
      <c r="Q201" s="7" t="s">
        <v>65</v>
      </c>
      <c r="AG201" s="9">
        <v>41121.0</v>
      </c>
      <c r="AH201" s="9">
        <v>41121.0</v>
      </c>
    </row>
    <row r="202">
      <c r="A202" s="6" t="str">
        <f>HYPERLINK("https://archive.ph/o/kCXAs/https://web-beta.archive.org/web/20130315140312/http://clopfic.heroku.com/fics/1305", "The Second Time Around")</f>
        <v>The Second Time Around</v>
      </c>
      <c r="E202" s="7" t="s">
        <v>44</v>
      </c>
      <c r="H202" s="8" t="s">
        <v>261</v>
      </c>
      <c r="I202" s="6" t="str">
        <f>HYPERLINK("https://archive.ph/o/kCXAs/https://web-beta.archive.org/web/20130315140312/http://clopfic.heroku.com/authors/860", "JujubeLand")</f>
        <v>JujubeLand</v>
      </c>
      <c r="Z202" s="7" t="s">
        <v>40</v>
      </c>
      <c r="AE202" s="7" t="s">
        <v>43</v>
      </c>
      <c r="AF202" s="7" t="s">
        <v>41</v>
      </c>
      <c r="AG202" s="9">
        <v>41120.0</v>
      </c>
      <c r="AH202" s="9">
        <v>41120.0</v>
      </c>
    </row>
    <row r="203">
      <c r="A203" s="6" t="str">
        <f>HYPERLINK("https://archive.ph/o/kCXAs/https://web-beta.archive.org/web/20130315140312/http://clopfic.heroku.com/fics/1304", "Red Light Sun")</f>
        <v>Red Light Sun</v>
      </c>
      <c r="H203" s="8" t="s">
        <v>262</v>
      </c>
      <c r="I203" s="6" t="str">
        <f>HYPERLINK("https://archive.ph/o/kCXAs/https://web-beta.archive.org/web/20130315140312/http://clopfic.heroku.com/authors/626", "Standard Namespace")</f>
        <v>Standard Namespace</v>
      </c>
      <c r="P203" s="7" t="s">
        <v>64</v>
      </c>
      <c r="Z203" s="7" t="s">
        <v>40</v>
      </c>
      <c r="AF203" s="7" t="s">
        <v>41</v>
      </c>
      <c r="AG203" s="9">
        <v>41120.0</v>
      </c>
      <c r="AH203" s="9">
        <v>41120.0</v>
      </c>
    </row>
    <row r="204">
      <c r="A204" s="6" t="str">
        <f>HYPERLINK("https://archive.ph/o/kCXAs/https://web-beta.archive.org/web/20130315140312/http://clopfic.heroku.com/fics/1300", "A Walk In The Woods=Finding Love")</f>
        <v>A Walk In The Woods=Finding Love</v>
      </c>
      <c r="E204" s="7" t="s">
        <v>44</v>
      </c>
      <c r="H204" s="8" t="s">
        <v>263</v>
      </c>
      <c r="I204" s="6" t="str">
        <f>HYPERLINK("https://archive.ph/o/kCXAs/https://web-beta.archive.org/web/20130315140312/http://clopfic.heroku.com/authors/1307", "Harrison Cole")</f>
        <v>Harrison Cole</v>
      </c>
      <c r="M204" s="7" t="s">
        <v>56</v>
      </c>
      <c r="Z204" s="7" t="s">
        <v>40</v>
      </c>
      <c r="AF204" s="7" t="s">
        <v>41</v>
      </c>
      <c r="AG204" s="9">
        <v>41119.0</v>
      </c>
      <c r="AH204" s="9">
        <v>41119.0</v>
      </c>
    </row>
    <row r="205">
      <c r="A205" s="6" t="str">
        <f>HYPERLINK("https://archive.ph/o/kCXAs/https://web-beta.archive.org/web/20130315140312/http://clopfic.heroku.com/fics/1296", "Bearded Lust 2: The Re-Beardening")</f>
        <v>Bearded Lust 2: The Re-Beardening</v>
      </c>
      <c r="D205" s="7" t="s">
        <v>37</v>
      </c>
      <c r="E205" s="7" t="s">
        <v>44</v>
      </c>
      <c r="H205" s="8" t="s">
        <v>264</v>
      </c>
      <c r="I205" s="6" t="str">
        <f>HYPERLINK("https://archive.ph/o/kCXAs/https://web-beta.archive.org/web/20130315140312/http://clopfic.heroku.com/authors/1303", "Arcainum")</f>
        <v>Arcainum</v>
      </c>
      <c r="J205" s="7" t="s">
        <v>39</v>
      </c>
      <c r="N205" s="7" t="s">
        <v>47</v>
      </c>
      <c r="P205" s="7" t="s">
        <v>64</v>
      </c>
      <c r="AG205" s="9">
        <v>41116.0</v>
      </c>
      <c r="AH205" s="9">
        <v>41116.0</v>
      </c>
    </row>
    <row r="206">
      <c r="A206" s="6" t="str">
        <f>HYPERLINK("https://archive.ph/o/kCXAs/https://web-beta.archive.org/web/20130315140312/http://clopfic.heroku.com/fics/1295", "Jungle Fever")</f>
        <v>Jungle Fever</v>
      </c>
      <c r="D206" s="7" t="s">
        <v>37</v>
      </c>
      <c r="E206" s="7" t="s">
        <v>44</v>
      </c>
      <c r="H206" s="8" t="s">
        <v>265</v>
      </c>
      <c r="I206" s="6" t="str">
        <f>HYPERLINK("https://archive.ph/o/kCXAs/https://web-beta.archive.org/web/20130315140312/http://clopfic.heroku.com/authors/701", "Diceman")</f>
        <v>Diceman</v>
      </c>
      <c r="O206" s="7" t="s">
        <v>51</v>
      </c>
      <c r="X206" s="7" t="s">
        <v>107</v>
      </c>
      <c r="AG206" s="9">
        <v>41116.0</v>
      </c>
      <c r="AH206" s="9">
        <v>41116.0</v>
      </c>
    </row>
    <row r="207">
      <c r="A207" s="6" t="str">
        <f>HYPERLINK("https://archive.ph/o/kCXAs/https://web-beta.archive.org/web/20130315140312/http://clopfic.heroku.com/fics/1294", "Coming Home")</f>
        <v>Coming Home</v>
      </c>
      <c r="C207" s="7" t="s">
        <v>54</v>
      </c>
      <c r="E207" s="7" t="s">
        <v>44</v>
      </c>
      <c r="H207" s="8" t="s">
        <v>266</v>
      </c>
      <c r="I207" s="6" t="str">
        <f>HYPERLINK("https://archive.ph/o/kCXAs/https://web-beta.archive.org/web/20130315140312/http://clopfic.heroku.com/authors/1173", "Firefox69")</f>
        <v>Firefox69</v>
      </c>
      <c r="R207" s="7" t="s">
        <v>66</v>
      </c>
      <c r="U207" s="7" t="s">
        <v>60</v>
      </c>
      <c r="AG207" s="9">
        <v>41115.0</v>
      </c>
      <c r="AH207" s="9">
        <v>41115.0</v>
      </c>
    </row>
    <row r="208">
      <c r="A208" s="6" t="str">
        <f>HYPERLINK("https://archive.ph/o/kCXAs/https://web-beta.archive.org/web/20130315140312/http://clopfic.heroku.com/fics/1292", "The First Morning")</f>
        <v>The First Morning</v>
      </c>
      <c r="E208" s="7" t="s">
        <v>44</v>
      </c>
      <c r="H208" s="8" t="s">
        <v>267</v>
      </c>
      <c r="I208" s="6" t="str">
        <f>HYPERLINK("https://archive.ph/o/kCXAs/https://web-beta.archive.org/web/20130315140312/http://clopfic.heroku.com/authors/860", "JujubeLand")</f>
        <v>JujubeLand</v>
      </c>
      <c r="N208" s="7" t="s">
        <v>47</v>
      </c>
      <c r="V208" s="7" t="s">
        <v>71</v>
      </c>
      <c r="AG208" s="9">
        <v>41115.0</v>
      </c>
      <c r="AH208" s="9">
        <v>41115.0</v>
      </c>
    </row>
    <row r="209">
      <c r="A209" s="6" t="str">
        <f>HYPERLINK("https://archive.ph/o/kCXAs/https://web-beta.archive.org/web/20130315140312/http://clopfic.heroku.com/fics/640", "Spa Day Soiree")</f>
        <v>Spa Day Soiree</v>
      </c>
      <c r="H209" s="8" t="s">
        <v>268</v>
      </c>
      <c r="I209" s="6" t="str">
        <f>HYPERLINK("https://archive.ph/o/kCXAs/https://web-beta.archive.org/web/20130315140312/http://clopfic.heroku.com/authors/81", "Co/smonaut petro/v/")</f>
        <v>Co/smonaut petro/v/</v>
      </c>
      <c r="M209" s="7" t="s">
        <v>56</v>
      </c>
      <c r="X209" s="7" t="s">
        <v>107</v>
      </c>
      <c r="Z209" s="7" t="s">
        <v>40</v>
      </c>
      <c r="AE209" s="7" t="s">
        <v>43</v>
      </c>
      <c r="AG209" s="9">
        <v>40898.0</v>
      </c>
      <c r="AH209" s="9">
        <v>41115.0</v>
      </c>
    </row>
    <row r="210">
      <c r="A210" s="6" t="str">
        <f>HYPERLINK("https://archive.ph/o/kCXAs/https://web-beta.archive.org/web/20130315140312/http://clopfic.heroku.com/fics/549", "Apple Bobbitt")</f>
        <v>Apple Bobbitt</v>
      </c>
      <c r="B210" s="7" t="s">
        <v>36</v>
      </c>
      <c r="H210" s="8" t="s">
        <v>269</v>
      </c>
      <c r="I210" s="6" t="str">
        <f>HYPERLINK("https://archive.ph/o/kCXAs/https://web-beta.archive.org/web/20130315140312/http://clopfic.heroku.com/authors/1295", "SandsofDawn")</f>
        <v>SandsofDawn</v>
      </c>
      <c r="L210" s="7" t="s">
        <v>62</v>
      </c>
      <c r="V210" s="7" t="s">
        <v>71</v>
      </c>
      <c r="Z210" s="7" t="s">
        <v>40</v>
      </c>
      <c r="AF210" s="7" t="s">
        <v>41</v>
      </c>
      <c r="AG210" s="9">
        <v>40851.0</v>
      </c>
      <c r="AH210" s="9">
        <v>41115.0</v>
      </c>
    </row>
    <row r="211">
      <c r="A211" s="6" t="str">
        <f>HYPERLINK("https://archive.ph/o/kCXAs/https://web-beta.archive.org/web/20130315140312/http://clopfic.heroku.com/fics/1281", "Trifurcate")</f>
        <v>Trifurcate</v>
      </c>
      <c r="E211" s="7" t="s">
        <v>44</v>
      </c>
      <c r="H211" s="8" t="s">
        <v>270</v>
      </c>
      <c r="I211" s="6" t="str">
        <f>HYPERLINK("https://archive.ph/o/kCXAs/https://web-beta.archive.org/web/20130315140312/http://clopfic.heroku.com/authors/253", "TAW")</f>
        <v>TAW</v>
      </c>
      <c r="J211" s="7" t="s">
        <v>39</v>
      </c>
      <c r="K211" s="7" t="s">
        <v>49</v>
      </c>
      <c r="M211" s="7" t="s">
        <v>56</v>
      </c>
      <c r="AG211" s="9">
        <v>41112.0</v>
      </c>
      <c r="AH211" s="9">
        <v>41115.0</v>
      </c>
    </row>
    <row r="212">
      <c r="A212" s="6" t="str">
        <f>HYPERLINK("https://archive.ph/o/kCXAs/https://web-beta.archive.org/web/20130315140312/http://clopfic.heroku.com/fics/1290", "Applejack's Family Bonding")</f>
        <v>Applejack's Family Bonding</v>
      </c>
      <c r="H212" s="8" t="s">
        <v>271</v>
      </c>
      <c r="I212" s="6" t="str">
        <f>HYPERLINK("https://archive.ph/o/kCXAs/https://web-beta.archive.org/web/20130315140312/http://clopfic.heroku.com/authors/356", "Metals")</f>
        <v>Metals</v>
      </c>
      <c r="L212" s="7" t="s">
        <v>62</v>
      </c>
      <c r="V212" s="7" t="s">
        <v>71</v>
      </c>
      <c r="AD212" s="7" t="s">
        <v>111</v>
      </c>
      <c r="AE212" s="7" t="s">
        <v>43</v>
      </c>
      <c r="AF212" s="7" t="s">
        <v>41</v>
      </c>
      <c r="AG212" s="9">
        <v>41114.0</v>
      </c>
      <c r="AH212" s="9">
        <v>41114.0</v>
      </c>
    </row>
    <row r="213">
      <c r="A213" s="6" t="str">
        <f>HYPERLINK("https://archive.ph/o/kCXAs/https://web-beta.archive.org/web/20130315140312/http://clopfic.heroku.com/fics/1289", "Sexty Minute Ponies: A Sister and A Teacher")</f>
        <v>Sexty Minute Ponies: A Sister and A Teacher</v>
      </c>
      <c r="D213" s="7" t="s">
        <v>37</v>
      </c>
      <c r="H213" s="8" t="s">
        <v>272</v>
      </c>
      <c r="I213" s="6" t="str">
        <f>HYPERLINK("https://archive.ph/o/kCXAs/https://web-beta.archive.org/web/20130315140312/http://clopfic.heroku.com/authors/1283", "Silly Dashie")</f>
        <v>Silly Dashie</v>
      </c>
      <c r="N213" s="7" t="s">
        <v>47</v>
      </c>
      <c r="Z213" s="7" t="s">
        <v>40</v>
      </c>
      <c r="AD213" s="7" t="s">
        <v>111</v>
      </c>
      <c r="AE213" s="7" t="s">
        <v>43</v>
      </c>
      <c r="AG213" s="9">
        <v>41114.0</v>
      </c>
      <c r="AH213" s="9">
        <v>41114.0</v>
      </c>
    </row>
    <row r="214">
      <c r="A214" s="6" t="str">
        <f>HYPERLINK("https://archive.ph/o/kCXAs/https://web-beta.archive.org/web/20130315140312/http://clopfic.heroku.com/fics/1288", "Solid Pink")</f>
        <v>Solid Pink</v>
      </c>
      <c r="B214" s="7" t="s">
        <v>36</v>
      </c>
      <c r="D214" s="7" t="s">
        <v>37</v>
      </c>
      <c r="H214" s="8" t="s">
        <v>273</v>
      </c>
      <c r="I214" s="6" t="str">
        <f>HYPERLINK("https://archive.ph/o/kCXAs/https://web-beta.archive.org/web/20130315140312/http://clopfic.heroku.com/authors/1293", "cutiemarie-chan")</f>
        <v>cutiemarie-chan</v>
      </c>
      <c r="K214" s="7" t="s">
        <v>49</v>
      </c>
      <c r="O214" s="7" t="s">
        <v>51</v>
      </c>
      <c r="T214" s="7" t="s">
        <v>59</v>
      </c>
      <c r="U214" s="7" t="s">
        <v>60</v>
      </c>
      <c r="Z214" s="7" t="s">
        <v>40</v>
      </c>
      <c r="AE214" s="7" t="s">
        <v>43</v>
      </c>
      <c r="AG214" s="9">
        <v>41114.0</v>
      </c>
      <c r="AH214" s="9">
        <v>41114.0</v>
      </c>
    </row>
    <row r="215">
      <c r="A215" s="6" t="str">
        <f>HYPERLINK("https://archive.ph/o/kCXAs/https://web-beta.archive.org/web/20130315140312/http://clopfic.heroku.com/fics/1287", "Spike's bad day")</f>
        <v>Spike's bad day</v>
      </c>
      <c r="B215" s="7" t="s">
        <v>36</v>
      </c>
      <c r="D215" s="7" t="s">
        <v>37</v>
      </c>
      <c r="E215" s="7" t="s">
        <v>44</v>
      </c>
      <c r="H215" s="8" t="s">
        <v>274</v>
      </c>
      <c r="I215" s="6" t="str">
        <f>HYPERLINK("https://archive.ph/o/kCXAs/https://web-beta.archive.org/web/20130315140312/http://clopfic.heroku.com/authors/1041", "Tailsopony")</f>
        <v>Tailsopony</v>
      </c>
      <c r="J215" s="7" t="s">
        <v>39</v>
      </c>
      <c r="N215" s="7" t="s">
        <v>47</v>
      </c>
      <c r="P215" s="7" t="s">
        <v>64</v>
      </c>
      <c r="Q215" s="7" t="s">
        <v>65</v>
      </c>
      <c r="R215" s="7" t="s">
        <v>66</v>
      </c>
      <c r="AG215" s="9">
        <v>41113.0</v>
      </c>
      <c r="AH215" s="9">
        <v>41113.0</v>
      </c>
    </row>
    <row r="216">
      <c r="A216" s="6" t="str">
        <f>HYPERLINK("https://archive.ph/o/kCXAs/https://web-beta.archive.org/web/20130315140312/http://clopfic.heroku.com/fics/1286", "Meeting Your True Love")</f>
        <v>Meeting Your True Love</v>
      </c>
      <c r="C216" s="7" t="s">
        <v>54</v>
      </c>
      <c r="E216" s="7" t="s">
        <v>44</v>
      </c>
      <c r="H216" s="8" t="s">
        <v>275</v>
      </c>
      <c r="I216" s="6" t="str">
        <f>HYPERLINK("https://archive.ph/o/kCXAs/https://web-beta.archive.org/web/20130315140312/http://clopfic.heroku.com/authors/1173", "Firefox69")</f>
        <v>Firefox69</v>
      </c>
      <c r="N216" s="7" t="s">
        <v>47</v>
      </c>
      <c r="AE216" s="7" t="s">
        <v>43</v>
      </c>
      <c r="AG216" s="9">
        <v>41113.0</v>
      </c>
      <c r="AH216" s="9">
        <v>41113.0</v>
      </c>
    </row>
    <row r="217">
      <c r="A217" s="6" t="str">
        <f>HYPERLINK("https://archive.ph/o/kCXAs/https://web-beta.archive.org/web/20130315140312/http://clopfic.heroku.com/fics/1285", "Make it Two")</f>
        <v>Make it Two</v>
      </c>
      <c r="D217" s="7" t="s">
        <v>37</v>
      </c>
      <c r="E217" s="7" t="s">
        <v>44</v>
      </c>
      <c r="H217" s="8" t="s">
        <v>276</v>
      </c>
      <c r="I217" s="6" t="str">
        <f>HYPERLINK("https://archive.ph/o/kCXAs/https://web-beta.archive.org/web/20130315140312/http://clopfic.heroku.com/authors/1274", "Recon")</f>
        <v>Recon</v>
      </c>
      <c r="M217" s="7" t="s">
        <v>56</v>
      </c>
      <c r="AE217" s="7" t="s">
        <v>43</v>
      </c>
      <c r="AG217" s="9">
        <v>41113.0</v>
      </c>
      <c r="AH217" s="9">
        <v>41113.0</v>
      </c>
    </row>
    <row r="218">
      <c r="A218" s="6" t="str">
        <f>HYPERLINK("https://archive.ph/o/kCXAs/https://web-beta.archive.org/web/20130315140312/http://clopfic.heroku.com/fics/1284", "Like a Kitten Would Get")</f>
        <v>Like a Kitten Would Get</v>
      </c>
      <c r="B218" s="7" t="s">
        <v>36</v>
      </c>
      <c r="C218" s="7" t="s">
        <v>54</v>
      </c>
      <c r="E218" s="7" t="s">
        <v>44</v>
      </c>
      <c r="H218" s="8" t="s">
        <v>277</v>
      </c>
      <c r="I218" s="6" t="str">
        <f>HYPERLINK("https://archive.ph/o/kCXAs/https://web-beta.archive.org/web/20130315140312/http://clopfic.heroku.com/fics", "/fics")</f>
        <v>/fics</v>
      </c>
      <c r="T218" s="7" t="s">
        <v>59</v>
      </c>
      <c r="AG218" s="9">
        <v>41113.0</v>
      </c>
      <c r="AH218" s="9">
        <v>41113.0</v>
      </c>
    </row>
    <row r="219">
      <c r="A219" s="6" t="str">
        <f>HYPERLINK("https://archive.ph/o/kCXAs/https://web-beta.archive.org/web/20130315140312/http://clopfic.heroku.com/fics/1283", "Young, Wild, and Free")</f>
        <v>Young, Wild, and Free</v>
      </c>
      <c r="E219" s="7" t="s">
        <v>44</v>
      </c>
      <c r="F219" s="7" t="s">
        <v>52</v>
      </c>
      <c r="H219" s="8" t="s">
        <v>278</v>
      </c>
      <c r="I219" s="6" t="str">
        <f t="shared" ref="I219:I220" si="9">HYPERLINK("https://archive.ph/o/kCXAs/https://web-beta.archive.org/web/20130315140312/http://clopfic.heroku.com/authors/1270", "Ascension Call")</f>
        <v>Ascension Call</v>
      </c>
      <c r="Z219" s="7" t="s">
        <v>40</v>
      </c>
      <c r="AE219" s="7" t="s">
        <v>43</v>
      </c>
      <c r="AG219" s="9">
        <v>41112.0</v>
      </c>
      <c r="AH219" s="9">
        <v>41112.0</v>
      </c>
    </row>
    <row r="220">
      <c r="A220" s="6" t="str">
        <f>HYPERLINK("https://archive.ph/o/kCXAs/https://web-beta.archive.org/web/20130315140312/http://clopfic.heroku.com/fics/1282", "Lost Love")</f>
        <v>Lost Love</v>
      </c>
      <c r="E220" s="7" t="s">
        <v>44</v>
      </c>
      <c r="H220" s="8" t="s">
        <v>279</v>
      </c>
      <c r="I220" s="6" t="str">
        <f t="shared" si="9"/>
        <v>Ascension Call</v>
      </c>
      <c r="Q220" s="7" t="s">
        <v>65</v>
      </c>
      <c r="Z220" s="7" t="s">
        <v>40</v>
      </c>
      <c r="AE220" s="7" t="s">
        <v>43</v>
      </c>
      <c r="AG220" s="9">
        <v>41112.0</v>
      </c>
      <c r="AH220" s="9">
        <v>41112.0</v>
      </c>
    </row>
    <row r="221">
      <c r="A221" s="6" t="str">
        <f>HYPERLINK("https://archive.ph/o/kCXAs/https://web-beta.archive.org/web/20130315140312/http://clopfic.heroku.com/fics/1280", "The Wedding Party")</f>
        <v>The Wedding Party</v>
      </c>
      <c r="C221" s="7" t="s">
        <v>54</v>
      </c>
      <c r="H221" s="8" t="s">
        <v>280</v>
      </c>
      <c r="I221" s="6" t="str">
        <f>HYPERLINK("https://archive.ph/o/kCXAs/https://web-beta.archive.org/web/20130315140312/http://clopfic.heroku.com/authors/626", "Standard Namespace")</f>
        <v>Standard Namespace</v>
      </c>
      <c r="N221" s="7" t="s">
        <v>47</v>
      </c>
      <c r="AB221" s="7" t="s">
        <v>101</v>
      </c>
      <c r="AG221" s="9">
        <v>41112.0</v>
      </c>
      <c r="AH221" s="9">
        <v>41112.0</v>
      </c>
    </row>
    <row r="222">
      <c r="A222" s="6" t="str">
        <f>HYPERLINK("https://archive.ph/o/kCXAs/https://web-beta.archive.org/web/20130315140312/http://clopfic.heroku.com/fics/1279", "Spring For a Soldier")</f>
        <v>Spring For a Soldier</v>
      </c>
      <c r="C222" s="7" t="s">
        <v>54</v>
      </c>
      <c r="D222" s="7" t="s">
        <v>37</v>
      </c>
      <c r="E222" s="7" t="s">
        <v>44</v>
      </c>
      <c r="F222" s="7" t="s">
        <v>52</v>
      </c>
      <c r="H222" s="8" t="s">
        <v>281</v>
      </c>
      <c r="I222" s="6" t="str">
        <f>HYPERLINK("https://archive.ph/o/kCXAs/https://web-beta.archive.org/web/20130315140312/http://clopfic.heroku.com/authors/1255", "Fenrir928")</f>
        <v>Fenrir928</v>
      </c>
      <c r="W222" s="7" t="s">
        <v>69</v>
      </c>
      <c r="Z222" s="7" t="s">
        <v>40</v>
      </c>
      <c r="AF222" s="7" t="s">
        <v>41</v>
      </c>
      <c r="AG222" s="9">
        <v>41110.0</v>
      </c>
      <c r="AH222" s="9">
        <v>41110.0</v>
      </c>
    </row>
    <row r="223">
      <c r="A223" s="6" t="str">
        <f>HYPERLINK("https://archive.ph/o/kCXAs/https://web-beta.archive.org/web/20130315140312/http://clopfic.heroku.com/fics/1278", "The Fitting")</f>
        <v>The Fitting</v>
      </c>
      <c r="D223" s="7" t="s">
        <v>37</v>
      </c>
      <c r="H223" s="8" t="s">
        <v>282</v>
      </c>
      <c r="I223" s="6" t="str">
        <f>HYPERLINK("https://archive.ph/o/kCXAs/https://web-beta.archive.org/web/20130315140312/http://clopfic.heroku.com/authors/754", "Obscure")</f>
        <v>Obscure</v>
      </c>
      <c r="M223" s="7" t="s">
        <v>56</v>
      </c>
      <c r="N223" s="7" t="s">
        <v>47</v>
      </c>
      <c r="AG223" s="9">
        <v>41109.0</v>
      </c>
      <c r="AH223" s="9">
        <v>41109.0</v>
      </c>
    </row>
    <row r="224">
      <c r="A224" s="6" t="str">
        <f>HYPERLINK("https://archive.ph/o/kCXAs/https://web-beta.archive.org/web/20130315140312/http://clopfic.heroku.com/fics/1275", "Pin the Tail on the Griffon")</f>
        <v>Pin the Tail on the Griffon</v>
      </c>
      <c r="D224" s="7" t="s">
        <v>37</v>
      </c>
      <c r="E224" s="7" t="s">
        <v>44</v>
      </c>
      <c r="H224" s="8" t="s">
        <v>283</v>
      </c>
      <c r="I224" s="6" t="str">
        <f>HYPERLINK("https://archive.ph/o/kCXAs/https://web-beta.archive.org/web/20130315140312/http://clopfic.heroku.com/authors/1133", "Bronystories")</f>
        <v>Bronystories</v>
      </c>
      <c r="K224" s="7" t="s">
        <v>49</v>
      </c>
      <c r="M224" s="7" t="s">
        <v>56</v>
      </c>
      <c r="Y224" s="7" t="s">
        <v>184</v>
      </c>
      <c r="AG224" s="9">
        <v>41107.0</v>
      </c>
      <c r="AH224" s="9">
        <v>41108.0</v>
      </c>
    </row>
    <row r="225">
      <c r="A225" s="6" t="str">
        <f>HYPERLINK("https://archive.ph/o/kCXAs/https://web-beta.archive.org/web/20130315140312/http://clopfic.heroku.com/fics/1274", "Shining Armor's Bachelor Party")</f>
        <v>Shining Armor's Bachelor Party</v>
      </c>
      <c r="H225" s="8" t="s">
        <v>284</v>
      </c>
      <c r="I225" s="6" t="str">
        <f>HYPERLINK("https://archive.ph/o/kCXAs/https://web-beta.archive.org/web/20130315140312/http://clopfic.heroku.com/authors/1244", "FreakyFetlocks")</f>
        <v>FreakyFetlocks</v>
      </c>
      <c r="W225" s="7" t="s">
        <v>69</v>
      </c>
      <c r="AE225" s="7" t="s">
        <v>43</v>
      </c>
      <c r="AG225" s="9">
        <v>41107.0</v>
      </c>
      <c r="AH225" s="9">
        <v>41107.0</v>
      </c>
    </row>
    <row r="226">
      <c r="A226" s="6" t="str">
        <f>HYPERLINK("https://archive.ph/o/kCXAs/https://web-beta.archive.org/web/20130315140312/http://clopfic.heroku.com/fics/1273", "Teach Me Miss Spitfire!")</f>
        <v>Teach Me Miss Spitfire!</v>
      </c>
      <c r="E226" s="7" t="s">
        <v>44</v>
      </c>
      <c r="F226" s="7" t="s">
        <v>52</v>
      </c>
      <c r="G226" s="7" t="s">
        <v>75</v>
      </c>
      <c r="H226" s="8" t="s">
        <v>285</v>
      </c>
      <c r="I226" s="6" t="str">
        <f>HYPERLINK("https://archive.ph/o/kCXAs/https://web-beta.archive.org/web/20130315140312/http://clopfic.heroku.com/authors/1148", "Jetsfantasy")</f>
        <v>Jetsfantasy</v>
      </c>
      <c r="M226" s="7" t="s">
        <v>56</v>
      </c>
      <c r="Z226" s="7" t="s">
        <v>40</v>
      </c>
      <c r="AE226" s="7" t="s">
        <v>43</v>
      </c>
      <c r="AG226" s="9">
        <v>41107.0</v>
      </c>
      <c r="AH226" s="9">
        <v>41107.0</v>
      </c>
    </row>
    <row r="227">
      <c r="A227" s="6" t="str">
        <f>HYPERLINK("https://archive.ph/o/kCXAs/https://web-beta.archive.org/web/20130315140312/http://clopfic.heroku.com/fics/1144", "Queen of the Changelings; Master of Me")</f>
        <v>Queen of the Changelings; Master of Me</v>
      </c>
      <c r="C227" s="7" t="s">
        <v>54</v>
      </c>
      <c r="E227" s="7" t="s">
        <v>44</v>
      </c>
      <c r="F227" s="7" t="s">
        <v>52</v>
      </c>
      <c r="H227" s="8" t="s">
        <v>286</v>
      </c>
      <c r="I227" s="6" t="str">
        <f>HYPERLINK("https://archive.ph/o/kCXAs/https://web-beta.archive.org/web/20130315140312/http://clopfic.heroku.com/authors/1234", "Bongo")</f>
        <v>Bongo</v>
      </c>
      <c r="Z227" s="7" t="s">
        <v>40</v>
      </c>
      <c r="AF227" s="7" t="s">
        <v>41</v>
      </c>
      <c r="AG227" s="9">
        <v>41063.0</v>
      </c>
      <c r="AH227" s="9">
        <v>41106.0</v>
      </c>
    </row>
    <row r="228">
      <c r="A228" s="6" t="str">
        <f>HYPERLINK("https://archive.ph/o/kCXAs/https://web-beta.archive.org/web/20130315140312/http://clopfic.heroku.com/fics/1272", "Dear PlayPony")</f>
        <v>Dear PlayPony</v>
      </c>
      <c r="H228" s="8" t="s">
        <v>287</v>
      </c>
      <c r="I228" s="6" t="str">
        <f>HYPERLINK("https://archive.ph/o/kCXAs/https://web-beta.archive.org/web/20130315140312/http://clopfic.heroku.com/authors/1239", "Logomac3")</f>
        <v>Logomac3</v>
      </c>
      <c r="J228" s="7" t="s">
        <v>39</v>
      </c>
      <c r="S228" s="7" t="s">
        <v>68</v>
      </c>
      <c r="T228" s="7" t="s">
        <v>59</v>
      </c>
      <c r="U228" s="7" t="s">
        <v>60</v>
      </c>
      <c r="AG228" s="9">
        <v>41106.0</v>
      </c>
      <c r="AH228" s="9">
        <v>41106.0</v>
      </c>
    </row>
    <row r="229">
      <c r="A229" s="6" t="str">
        <f>HYPERLINK("https://archive.ph/o/kCXAs/https://web-beta.archive.org/web/20130315140312/http://clopfic.heroku.com/fics/1271", "Dash's sticky lesson")</f>
        <v>Dash's sticky lesson</v>
      </c>
      <c r="H229" s="8" t="s">
        <v>288</v>
      </c>
      <c r="I229" s="6" t="str">
        <f>HYPERLINK("https://archive.ph/o/kCXAs/https://web-beta.archive.org/web/20130315140312/http://clopfic.heroku.com/authors/253", "TAW")</f>
        <v>TAW</v>
      </c>
      <c r="K229" s="7" t="s">
        <v>49</v>
      </c>
      <c r="M229" s="7" t="s">
        <v>56</v>
      </c>
      <c r="AE229" s="7" t="s">
        <v>43</v>
      </c>
      <c r="AG229" s="9">
        <v>41106.0</v>
      </c>
      <c r="AH229" s="9">
        <v>41106.0</v>
      </c>
    </row>
    <row r="230">
      <c r="A230" s="6" t="str">
        <f>HYPERLINK("https://archive.ph/o/kCXAs/https://web-beta.archive.org/web/20130315140312/http://clopfic.heroku.com/fics/1078", "Dirty Sexy Pony")</f>
        <v>Dirty Sexy Pony</v>
      </c>
      <c r="B230" s="7" t="s">
        <v>36</v>
      </c>
      <c r="D230" s="7" t="s">
        <v>37</v>
      </c>
      <c r="H230" s="8" t="s">
        <v>289</v>
      </c>
      <c r="I230" s="6" t="str">
        <f>HYPERLINK("https://archive.ph/o/kCXAs/https://web-beta.archive.org/web/20130315140312/http://clopfic.heroku.com/authors/781", "Typewriterpony")</f>
        <v>Typewriterpony</v>
      </c>
      <c r="J230" s="7" t="s">
        <v>39</v>
      </c>
      <c r="K230" s="7" t="s">
        <v>49</v>
      </c>
      <c r="N230" s="7" t="s">
        <v>47</v>
      </c>
      <c r="P230" s="7" t="s">
        <v>64</v>
      </c>
      <c r="Q230" s="7" t="s">
        <v>65</v>
      </c>
      <c r="R230" s="7" t="s">
        <v>66</v>
      </c>
      <c r="Z230" s="7" t="s">
        <v>40</v>
      </c>
      <c r="AE230" s="7" t="s">
        <v>43</v>
      </c>
      <c r="AG230" s="9">
        <v>41044.0</v>
      </c>
      <c r="AH230" s="9">
        <v>41105.0</v>
      </c>
    </row>
    <row r="231">
      <c r="A231" s="6" t="str">
        <f>HYPERLINK("https://archive.ph/o/kCXAs/https://web-beta.archive.org/web/20130315140312/http://clopfic.heroku.com/fics/1270", "Stubborn as a Pie")</f>
        <v>Stubborn as a Pie</v>
      </c>
      <c r="H231" s="8" t="s">
        <v>290</v>
      </c>
      <c r="I231" s="6" t="str">
        <f>HYPERLINK("https://archive.ph/o/kCXAs/https://web-beta.archive.org/web/20130315140312/http://clopfic.heroku.com/authors/1238", "Shaka Laka")</f>
        <v>Shaka Laka</v>
      </c>
      <c r="K231" s="7" t="s">
        <v>49</v>
      </c>
      <c r="Z231" s="7" t="s">
        <v>40</v>
      </c>
      <c r="AE231" s="7" t="s">
        <v>43</v>
      </c>
      <c r="AG231" s="9">
        <v>41104.0</v>
      </c>
      <c r="AH231" s="9">
        <v>41104.0</v>
      </c>
    </row>
    <row r="232">
      <c r="A232" s="6" t="str">
        <f>HYPERLINK("https://archive.ph/o/kCXAs/https://web-beta.archive.org/web/20130315140312/http://clopfic.heroku.com/fics/1269", "New Pony in Town")</f>
        <v>New Pony in Town</v>
      </c>
      <c r="D232" s="7" t="s">
        <v>37</v>
      </c>
      <c r="E232" s="7" t="s">
        <v>44</v>
      </c>
      <c r="F232" s="7" t="s">
        <v>52</v>
      </c>
      <c r="G232" s="7" t="s">
        <v>75</v>
      </c>
      <c r="H232" s="8" t="s">
        <v>291</v>
      </c>
      <c r="I232" s="6" t="str">
        <f>HYPERLINK("https://archive.ph/o/kCXAs/https://web-beta.archive.org/web/20130315140312/http://clopfic.heroku.com/authors/1261", "The Brony (feat. various)")</f>
        <v>The Brony (feat. various)</v>
      </c>
      <c r="J232" s="7" t="s">
        <v>39</v>
      </c>
      <c r="K232" s="7" t="s">
        <v>49</v>
      </c>
      <c r="M232" s="7" t="s">
        <v>56</v>
      </c>
      <c r="Z232" s="7" t="s">
        <v>40</v>
      </c>
      <c r="AA232" s="7" t="s">
        <v>113</v>
      </c>
      <c r="AB232" s="7" t="s">
        <v>101</v>
      </c>
      <c r="AC232" s="7" t="s">
        <v>102</v>
      </c>
      <c r="AE232" s="7" t="s">
        <v>43</v>
      </c>
      <c r="AF232" s="7" t="s">
        <v>41</v>
      </c>
      <c r="AG232" s="9">
        <v>41104.0</v>
      </c>
      <c r="AH232" s="9">
        <v>41104.0</v>
      </c>
    </row>
    <row r="233">
      <c r="A233" s="6" t="str">
        <f>HYPERLINK("https://archive.ph/o/kCXAs/https://web-beta.archive.org/web/20130315140312/http://clopfic.heroku.com/fics/1243", "Multi-Author Brony Musician NSFW Story")</f>
        <v>Multi-Author Brony Musician NSFW Story</v>
      </c>
      <c r="C233" s="7" t="s">
        <v>54</v>
      </c>
      <c r="D233" s="7" t="s">
        <v>37</v>
      </c>
      <c r="F233" s="7" t="s">
        <v>52</v>
      </c>
      <c r="H233" s="8" t="s">
        <v>292</v>
      </c>
      <c r="I233" s="6" t="str">
        <f>HYPERLINK("https://archive.ph/o/kCXAs/https://web-beta.archive.org/web/20130315140312/http://clopfic.heroku.com/fics", "/fics")</f>
        <v>/fics</v>
      </c>
      <c r="Z233" s="7" t="s">
        <v>40</v>
      </c>
      <c r="AE233" s="7" t="s">
        <v>43</v>
      </c>
      <c r="AF233" s="7" t="s">
        <v>41</v>
      </c>
      <c r="AG233" s="9">
        <v>41095.0</v>
      </c>
      <c r="AH233" s="9">
        <v>41103.0</v>
      </c>
    </row>
    <row r="234">
      <c r="A234" s="6" t="str">
        <f>HYPERLINK("https://archive.ph/o/kCXAs/https://web-beta.archive.org/web/20130315140312/http://clopfic.heroku.com/fics/222", "Romance Reports")</f>
        <v>Romance Reports</v>
      </c>
      <c r="D234" s="7" t="s">
        <v>37</v>
      </c>
      <c r="E234" s="7" t="s">
        <v>44</v>
      </c>
      <c r="H234" s="3"/>
      <c r="I234" s="6" t="str">
        <f>HYPERLINK("https://archive.ph/o/kCXAs/https://web-beta.archive.org/web/20130315140312/http://clopfic.heroku.com/authors/70", "SleeplessBrony")</f>
        <v>SleeplessBrony</v>
      </c>
      <c r="J234" s="7" t="s">
        <v>39</v>
      </c>
      <c r="K234" s="7" t="s">
        <v>49</v>
      </c>
      <c r="L234" s="7" t="s">
        <v>62</v>
      </c>
      <c r="M234" s="7" t="s">
        <v>56</v>
      </c>
      <c r="N234" s="7" t="s">
        <v>47</v>
      </c>
      <c r="O234" s="7" t="s">
        <v>51</v>
      </c>
      <c r="P234" s="7" t="s">
        <v>64</v>
      </c>
      <c r="Q234" s="7" t="s">
        <v>65</v>
      </c>
      <c r="V234" s="7" t="s">
        <v>71</v>
      </c>
      <c r="Z234" s="7" t="s">
        <v>40</v>
      </c>
      <c r="AD234" s="7" t="s">
        <v>111</v>
      </c>
      <c r="AG234" s="9">
        <v>40767.0</v>
      </c>
      <c r="AH234" s="9">
        <v>41103.0</v>
      </c>
    </row>
    <row r="235">
      <c r="A235" s="6" t="str">
        <f>HYPERLINK("https://archive.ph/o/kCXAs/https://web-beta.archive.org/web/20130315140312/http://clopfic.heroku.com/fics/1268", "Chrysalis Fever")</f>
        <v>Chrysalis Fever</v>
      </c>
      <c r="C235" s="7" t="s">
        <v>54</v>
      </c>
      <c r="D235" s="7" t="s">
        <v>37</v>
      </c>
      <c r="E235" s="7" t="s">
        <v>44</v>
      </c>
      <c r="H235" s="8" t="s">
        <v>293</v>
      </c>
      <c r="I235" s="6" t="str">
        <f>HYPERLINK("https://archive.ph/o/kCXAs/https://web-beta.archive.org/web/20130315140312/http://clopfic.heroku.com/authors/740", "Bromega")</f>
        <v>Bromega</v>
      </c>
      <c r="AF235" s="7" t="s">
        <v>41</v>
      </c>
      <c r="AG235" s="9">
        <v>41102.0</v>
      </c>
      <c r="AH235" s="9">
        <v>41102.0</v>
      </c>
    </row>
    <row r="236">
      <c r="A236" s="6" t="str">
        <f>HYPERLINK("https://archive.ph/o/kCXAs/https://web-beta.archive.org/web/20130315140312/http://clopfic.heroku.com/fics/1267", "Futashy's Peach Tea")</f>
        <v>Futashy's Peach Tea</v>
      </c>
      <c r="C236" s="7" t="s">
        <v>54</v>
      </c>
      <c r="D236" s="7" t="s">
        <v>37</v>
      </c>
      <c r="H236" s="8" t="s">
        <v>294</v>
      </c>
      <c r="I236" s="6" t="str">
        <f>HYPERLINK("https://archive.ph/o/kCXAs/https://web-beta.archive.org/web/20130315140312/http://clopfic.heroku.com/authors/104", "Soashamedpony")</f>
        <v>Soashamedpony</v>
      </c>
      <c r="O236" s="7" t="s">
        <v>51</v>
      </c>
      <c r="AG236" s="9">
        <v>41102.0</v>
      </c>
      <c r="AH236" s="9">
        <v>41102.0</v>
      </c>
    </row>
    <row r="237">
      <c r="A237" s="6" t="str">
        <f>HYPERLINK("https://archive.ph/o/kCXAs/https://web-beta.archive.org/web/20130315140312/http://clopfic.heroku.com/fics/1266", "Medicine for the Blues")</f>
        <v>Medicine for the Blues</v>
      </c>
      <c r="E237" s="7" t="s">
        <v>44</v>
      </c>
      <c r="H237" s="8" t="s">
        <v>295</v>
      </c>
      <c r="I237" s="6" t="str">
        <f>HYPERLINK("https://archive.ph/o/kCXAs/https://web-beta.archive.org/web/20130315140312/http://clopfic.heroku.com/authors/1230", "Glacial Mist")</f>
        <v>Glacial Mist</v>
      </c>
      <c r="Z237" s="7" t="s">
        <v>40</v>
      </c>
      <c r="AE237" s="7" t="s">
        <v>43</v>
      </c>
      <c r="AG237" s="9">
        <v>41102.0</v>
      </c>
      <c r="AH237" s="9">
        <v>41102.0</v>
      </c>
    </row>
    <row r="238">
      <c r="A238" s="6" t="str">
        <f>HYPERLINK("https://archive.ph/o/kCXAs/https://web-beta.archive.org/web/20130315140312/http://clopfic.heroku.com/fics/1265", "Requited Love")</f>
        <v>Requited Love</v>
      </c>
      <c r="B238" s="7" t="s">
        <v>36</v>
      </c>
      <c r="C238" s="7" t="s">
        <v>54</v>
      </c>
      <c r="D238" s="7" t="s">
        <v>37</v>
      </c>
      <c r="E238" s="7" t="s">
        <v>44</v>
      </c>
      <c r="H238" s="8" t="s">
        <v>296</v>
      </c>
      <c r="I238" s="6" t="str">
        <f>HYPERLINK("https://archive.ph/o/kCXAs/https://web-beta.archive.org/web/20130315140312/http://clopfic.heroku.com/authors/670", "Jura~")</f>
        <v>Jura~</v>
      </c>
      <c r="N238" s="7" t="s">
        <v>47</v>
      </c>
      <c r="W238" s="7" t="s">
        <v>69</v>
      </c>
      <c r="AG238" s="9">
        <v>41101.0</v>
      </c>
      <c r="AH238" s="9">
        <v>41101.0</v>
      </c>
    </row>
    <row r="239">
      <c r="A239" s="6" t="str">
        <f>HYPERLINK("https://archive.ph/o/kCXAs/https://web-beta.archive.org/web/20130315140312/http://clopfic.heroku.com/fics/1264", "Best of Five")</f>
        <v>Best of Five</v>
      </c>
      <c r="D239" s="7" t="s">
        <v>37</v>
      </c>
      <c r="E239" s="7" t="s">
        <v>44</v>
      </c>
      <c r="H239" s="8" t="s">
        <v>297</v>
      </c>
      <c r="I239" s="6" t="str">
        <f t="shared" ref="I239:I240" si="10">HYPERLINK("https://archive.ph/o/kCXAs/https://web-beta.archive.org/web/20130315140312/http://clopfic.heroku.com/authors/262", "kits")</f>
        <v>kits</v>
      </c>
      <c r="J239" s="7" t="s">
        <v>39</v>
      </c>
      <c r="K239" s="7" t="s">
        <v>49</v>
      </c>
      <c r="AG239" s="9">
        <v>41101.0</v>
      </c>
      <c r="AH239" s="9">
        <v>41101.0</v>
      </c>
    </row>
    <row r="240">
      <c r="A240" s="6" t="str">
        <f>HYPERLINK("https://archive.ph/o/kCXAs/https://web-beta.archive.org/web/20130315140312/http://clopfic.heroku.com/fics/1263", "Clouds Make Lousy Walls")</f>
        <v>Clouds Make Lousy Walls</v>
      </c>
      <c r="D240" s="7" t="s">
        <v>37</v>
      </c>
      <c r="H240" s="8" t="s">
        <v>298</v>
      </c>
      <c r="I240" s="6" t="str">
        <f t="shared" si="10"/>
        <v>kits</v>
      </c>
      <c r="K240" s="7" t="s">
        <v>49</v>
      </c>
      <c r="M240" s="7" t="s">
        <v>56</v>
      </c>
      <c r="O240" s="7" t="s">
        <v>51</v>
      </c>
      <c r="AG240" s="9">
        <v>41101.0</v>
      </c>
      <c r="AH240" s="9">
        <v>41101.0</v>
      </c>
    </row>
    <row r="241">
      <c r="A241" s="6" t="str">
        <f>HYPERLINK("https://archive.ph/o/kCXAs/https://web-beta.archive.org/web/20130315140312/http://clopfic.heroku.com/fics/1262", "Multiplayer Twinkies")</f>
        <v>Multiplayer Twinkies</v>
      </c>
      <c r="H241" s="8" t="s">
        <v>299</v>
      </c>
      <c r="I241" s="6" t="str">
        <f>HYPERLINK("https://archive.ph/o/kCXAs/https://web-beta.archive.org/web/20130315140312/http://clopfic.heroku.com/authors/253", "TAW")</f>
        <v>TAW</v>
      </c>
      <c r="J241" s="7" t="s">
        <v>39</v>
      </c>
      <c r="K241" s="7" t="s">
        <v>49</v>
      </c>
      <c r="AG241" s="9">
        <v>41101.0</v>
      </c>
      <c r="AH241" s="9">
        <v>41101.0</v>
      </c>
    </row>
    <row r="242">
      <c r="A242" s="6" t="str">
        <f>HYPERLINK("https://archive.ph/o/kCXAs/https://web-beta.archive.org/web/20130315140312/http://clopfic.heroku.com/fics/1261", "Feeling Pinkie's Queen")</f>
        <v>Feeling Pinkie's Queen</v>
      </c>
      <c r="H242" s="8" t="s">
        <v>300</v>
      </c>
      <c r="I242" s="6" t="str">
        <f>HYPERLINK("https://archive.ph/o/kCXAs/https://web-beta.archive.org/web/20130315140312/http://clopfic.heroku.com/authors/626", "Standard Namespace")</f>
        <v>Standard Namespace</v>
      </c>
      <c r="J242" s="7" t="s">
        <v>39</v>
      </c>
      <c r="K242" s="7" t="s">
        <v>49</v>
      </c>
      <c r="AG242" s="9">
        <v>41101.0</v>
      </c>
      <c r="AH242" s="9">
        <v>41101.0</v>
      </c>
    </row>
    <row r="243">
      <c r="A243" s="6" t="str">
        <f>HYPERLINK("https://archive.ph/o/kCXAs/https://web-beta.archive.org/web/20130315140312/http://clopfic.heroku.com/fics/1260", "Pinkie Pie and Big Mac's baking bonanza!")</f>
        <v>Pinkie Pie and Big Mac's baking bonanza!</v>
      </c>
      <c r="D243" s="7" t="s">
        <v>37</v>
      </c>
      <c r="E243" s="7" t="s">
        <v>44</v>
      </c>
      <c r="H243" s="8" t="s">
        <v>301</v>
      </c>
      <c r="I243" s="6" t="str">
        <f>HYPERLINK("https://archive.ph/o/kCXAs/https://web-beta.archive.org/web/20130315140312/http://clopfic.heroku.com/authors/198", "Theorangefox")</f>
        <v>Theorangefox</v>
      </c>
      <c r="K243" s="7" t="s">
        <v>49</v>
      </c>
      <c r="V243" s="7" t="s">
        <v>71</v>
      </c>
      <c r="AG243" s="9">
        <v>41100.0</v>
      </c>
      <c r="AH243" s="9">
        <v>41100.0</v>
      </c>
    </row>
    <row r="244">
      <c r="A244" s="6" t="str">
        <f>HYPERLINK("https://archive.ph/o/kCXAs/https://web-beta.archive.org/web/20130315140312/http://clopfic.heroku.com/fics/1259", "Cupcakes 1 ½")</f>
        <v>Cupcakes 1 ½</v>
      </c>
      <c r="B244" s="7" t="s">
        <v>36</v>
      </c>
      <c r="H244" s="8" t="s">
        <v>302</v>
      </c>
      <c r="I244" s="6" t="str">
        <f>HYPERLINK("https://archive.ph/o/kCXAs/https://web-beta.archive.org/web/20130315140312/http://clopfic.heroku.com/fics", "/fics")</f>
        <v>/fics</v>
      </c>
      <c r="K244" s="7" t="s">
        <v>49</v>
      </c>
      <c r="L244" s="7" t="s">
        <v>62</v>
      </c>
      <c r="M244" s="7" t="s">
        <v>56</v>
      </c>
      <c r="N244" s="7" t="s">
        <v>47</v>
      </c>
      <c r="O244" s="7" t="s">
        <v>51</v>
      </c>
      <c r="V244" s="7" t="s">
        <v>71</v>
      </c>
      <c r="AG244" s="9">
        <v>41100.0</v>
      </c>
      <c r="AH244" s="9">
        <v>41100.0</v>
      </c>
    </row>
    <row r="245">
      <c r="A245" s="6" t="str">
        <f>HYPERLINK("https://archive.ph/o/kCXAs/https://web-beta.archive.org/web/20130315140312/http://clopfic.heroku.com/fics/1258", "Mares of Magic")</f>
        <v>Mares of Magic</v>
      </c>
      <c r="D245" s="7" t="s">
        <v>37</v>
      </c>
      <c r="H245" s="8" t="s">
        <v>303</v>
      </c>
      <c r="I245" s="6" t="str">
        <f>HYPERLINK("https://archive.ph/o/kCXAs/https://web-beta.archive.org/web/20130315140312/http://clopfic.heroku.com/authors/1227", "Clopmama")</f>
        <v>Clopmama</v>
      </c>
      <c r="J245" s="7" t="s">
        <v>39</v>
      </c>
      <c r="W245" s="7" t="s">
        <v>69</v>
      </c>
      <c r="AG245" s="9">
        <v>41100.0</v>
      </c>
      <c r="AH245" s="9">
        <v>41100.0</v>
      </c>
    </row>
    <row r="246">
      <c r="A246" s="6" t="str">
        <f>HYPERLINK("https://archive.ph/o/kCXAs/https://web-beta.archive.org/web/20130315140312/http://clopfic.heroku.com/fics/1256", "A Slice Of The Pie")</f>
        <v>A Slice Of The Pie</v>
      </c>
      <c r="E246" s="7" t="s">
        <v>44</v>
      </c>
      <c r="H246" s="8" t="s">
        <v>304</v>
      </c>
      <c r="I246" s="6" t="str">
        <f>HYPERLINK("https://archive.ph/o/kCXAs/https://web-beta.archive.org/web/20130315140312/http://clopfic.heroku.com/authors/1219", "DarkKoushirou")</f>
        <v>DarkKoushirou</v>
      </c>
      <c r="AF246" s="7" t="s">
        <v>41</v>
      </c>
      <c r="AG246" s="9">
        <v>41099.0</v>
      </c>
      <c r="AH246" s="9">
        <v>41099.0</v>
      </c>
    </row>
    <row r="247">
      <c r="A247" s="6" t="str">
        <f>HYPERLINK("https://archive.ph/o/kCXAs/https://web-beta.archive.org/web/20130315140312/http://clopfic.heroku.com/fics/444", "Fall Weather Friends with Benefits")</f>
        <v>Fall Weather Friends with Benefits</v>
      </c>
      <c r="H247" s="8" t="s">
        <v>305</v>
      </c>
      <c r="I247" s="6" t="str">
        <f>HYPERLINK("https://archive.ph/o/kCXAs/https://web-beta.archive.org/web/20130315140312/http://clopfic.heroku.com/authors/1", "RagingSemi")</f>
        <v>RagingSemi</v>
      </c>
      <c r="L247" s="7" t="s">
        <v>62</v>
      </c>
      <c r="M247" s="7" t="s">
        <v>56</v>
      </c>
      <c r="AG247" s="9">
        <v>40783.0</v>
      </c>
      <c r="AH247" s="9">
        <v>41099.0</v>
      </c>
    </row>
    <row r="248">
      <c r="A248" s="6" t="str">
        <f>HYPERLINK("https://archive.ph/o/kCXAs/https://web-beta.archive.org/web/20130315140312/http://clopfic.heroku.com/fics/1252", "Curing the feather flu")</f>
        <v>Curing the feather flu</v>
      </c>
      <c r="E248" s="7" t="s">
        <v>44</v>
      </c>
      <c r="H248" s="8" t="s">
        <v>306</v>
      </c>
      <c r="I248" s="6" t="str">
        <f>HYPERLINK("https://archive.ph/o/kCXAs/https://web-beta.archive.org/web/20130315140312/http://clopfic.heroku.com/authors/620", "Desolated Brony")</f>
        <v>Desolated Brony</v>
      </c>
      <c r="M248" s="7" t="s">
        <v>56</v>
      </c>
      <c r="AE248" s="7" t="s">
        <v>43</v>
      </c>
      <c r="AG248" s="9">
        <v>41098.0</v>
      </c>
      <c r="AH248" s="9">
        <v>41098.0</v>
      </c>
    </row>
    <row r="249">
      <c r="A249" s="6" t="str">
        <f>HYPERLINK("https://archive.ph/o/kCXAs/https://web-beta.archive.org/web/20130315140312/http://clopfic.heroku.com/fics/1251", "Like Two Peas in a Pod")</f>
        <v>Like Two Peas in a Pod</v>
      </c>
      <c r="E249" s="7" t="s">
        <v>44</v>
      </c>
      <c r="H249" s="8" t="s">
        <v>307</v>
      </c>
      <c r="I249" s="6" t="str">
        <f>HYPERLINK("https://archive.ph/o/kCXAs/https://web-beta.archive.org/web/20130315140312/http://clopfic.heroku.com/authors/746", "Flutterwhy4")</f>
        <v>Flutterwhy4</v>
      </c>
      <c r="J249" s="7" t="s">
        <v>39</v>
      </c>
      <c r="Z249" s="7" t="s">
        <v>40</v>
      </c>
      <c r="AE249" s="7" t="s">
        <v>43</v>
      </c>
      <c r="AG249" s="9">
        <v>41098.0</v>
      </c>
      <c r="AH249" s="9">
        <v>41098.0</v>
      </c>
    </row>
    <row r="250">
      <c r="A250" s="6" t="str">
        <f>HYPERLINK("https://archive.ph/o/kCXAs/https://web-beta.archive.org/web/20130315140312/http://clopfic.heroku.com/fics/1250", "The Fashion Lesson")</f>
        <v>The Fashion Lesson</v>
      </c>
      <c r="D250" s="7" t="s">
        <v>37</v>
      </c>
      <c r="E250" s="7" t="s">
        <v>44</v>
      </c>
      <c r="H250" s="8" t="s">
        <v>308</v>
      </c>
      <c r="I250" s="6" t="str">
        <f>HYPERLINK("https://archive.ph/o/kCXAs/https://web-beta.archive.org/web/20130315140312/http://clopfic.heroku.com/authors/1203", "Cap'n Midnight")</f>
        <v>Cap'n Midnight</v>
      </c>
      <c r="N250" s="7" t="s">
        <v>47</v>
      </c>
      <c r="AF250" s="7" t="s">
        <v>41</v>
      </c>
      <c r="AG250" s="9">
        <v>41098.0</v>
      </c>
      <c r="AH250" s="9">
        <v>41098.0</v>
      </c>
    </row>
    <row r="251">
      <c r="A251" s="6" t="str">
        <f>HYPERLINK("https://archive.ph/o/kCXAs/https://web-beta.archive.org/web/20130315140312/http://clopfic.heroku.com/fics/1248", "Home")</f>
        <v>Home</v>
      </c>
      <c r="E251" s="7" t="s">
        <v>44</v>
      </c>
      <c r="H251" s="8" t="s">
        <v>309</v>
      </c>
      <c r="I251" s="6" t="str">
        <f>HYPERLINK("https://archive.ph/o/kCXAs/https://web-beta.archive.org/web/20130315140312/http://clopfic.heroku.com/authors/553", "ImJustAnotherBrony")</f>
        <v>ImJustAnotherBrony</v>
      </c>
      <c r="AB251" s="7" t="s">
        <v>101</v>
      </c>
      <c r="AC251" s="7" t="s">
        <v>102</v>
      </c>
      <c r="AG251" s="9">
        <v>41097.0</v>
      </c>
      <c r="AH251" s="9">
        <v>41097.0</v>
      </c>
    </row>
    <row r="252">
      <c r="A252" s="6" t="str">
        <f>HYPERLINK("https://archive.ph/o/kCXAs/https://web-beta.archive.org/web/20130315140312/http://clopfic.heroku.com/fics/1247", "Salvation")</f>
        <v>Salvation</v>
      </c>
      <c r="E252" s="7" t="s">
        <v>44</v>
      </c>
      <c r="F252" s="7" t="s">
        <v>52</v>
      </c>
      <c r="H252" s="8" t="s">
        <v>310</v>
      </c>
      <c r="I252" s="6" t="str">
        <f>HYPERLINK("https://archive.ph/o/kCXAs/https://web-beta.archive.org/web/20130315140312/http://clopfic.heroku.com/authors/1196", "SexyBack")</f>
        <v>SexyBack</v>
      </c>
      <c r="M252" s="7" t="s">
        <v>56</v>
      </c>
      <c r="N252" s="7" t="s">
        <v>47</v>
      </c>
      <c r="Z252" s="7" t="s">
        <v>40</v>
      </c>
      <c r="AF252" s="7" t="s">
        <v>41</v>
      </c>
      <c r="AG252" s="9">
        <v>41097.0</v>
      </c>
      <c r="AH252" s="9">
        <v>41097.0</v>
      </c>
    </row>
    <row r="253">
      <c r="A253" s="6" t="str">
        <f>HYPERLINK("https://archive.ph/o/kCXAs/https://web-beta.archive.org/web/20130315140312/http://clopfic.heroku.com/fics/1091", "Bechdel's Law")</f>
        <v>Bechdel's Law</v>
      </c>
      <c r="E253" s="7" t="s">
        <v>44</v>
      </c>
      <c r="H253" s="8" t="s">
        <v>311</v>
      </c>
      <c r="I253" s="6" t="str">
        <f>HYPERLINK("https://archive.ph/o/kCXAs/https://web-beta.archive.org/web/20130315140312/http://clopfic.heroku.com/authors/790", "Aurora")</f>
        <v>Aurora</v>
      </c>
      <c r="J253" s="7" t="s">
        <v>39</v>
      </c>
      <c r="L253" s="7" t="s">
        <v>62</v>
      </c>
      <c r="N253" s="7" t="s">
        <v>47</v>
      </c>
      <c r="O253" s="7" t="s">
        <v>51</v>
      </c>
      <c r="Z253" s="7" t="s">
        <v>40</v>
      </c>
      <c r="AE253" s="7" t="s">
        <v>43</v>
      </c>
      <c r="AG253" s="9">
        <v>41048.0</v>
      </c>
      <c r="AH253" s="9">
        <v>41097.0</v>
      </c>
    </row>
    <row r="254">
      <c r="A254" s="6" t="str">
        <f>HYPERLINK("https://archive.ph/o/kCXAs/https://web-beta.archive.org/web/20130315140312/http://clopfic.heroku.com/fics/1246", "The Thunder Games")</f>
        <v>The Thunder Games</v>
      </c>
      <c r="H254" s="8" t="s">
        <v>312</v>
      </c>
      <c r="I254" s="6" t="str">
        <f>HYPERLINK("https://archive.ph/o/kCXAs/https://web-beta.archive.org/web/20130315140312/http://clopfic.heroku.com/authors/81", "Co/smonaut petro/v/")</f>
        <v>Co/smonaut petro/v/</v>
      </c>
      <c r="Z254" s="7" t="s">
        <v>40</v>
      </c>
      <c r="AE254" s="7" t="s">
        <v>43</v>
      </c>
      <c r="AG254" s="9">
        <v>41097.0</v>
      </c>
      <c r="AH254" s="9">
        <v>41097.0</v>
      </c>
    </row>
    <row r="255">
      <c r="A255" s="6" t="str">
        <f>HYPERLINK("https://archive.ph/o/kCXAs/https://web-beta.archive.org/web/20130315140312/http://clopfic.heroku.com/fics/1245", "Our Little Secret")</f>
        <v>Our Little Secret</v>
      </c>
      <c r="E255" s="7" t="s">
        <v>44</v>
      </c>
      <c r="H255" s="8" t="s">
        <v>313</v>
      </c>
      <c r="I255" s="6" t="str">
        <f>HYPERLINK("https://archive.ph/o/kCXAs/https://web-beta.archive.org/web/20130315140312/http://clopfic.heroku.com/authors/355", "Liquid Rainbows")</f>
        <v>Liquid Rainbows</v>
      </c>
      <c r="T255" s="7" t="s">
        <v>59</v>
      </c>
      <c r="AF255" s="7" t="s">
        <v>41</v>
      </c>
      <c r="AG255" s="9">
        <v>41096.0</v>
      </c>
      <c r="AH255" s="9">
        <v>41096.0</v>
      </c>
    </row>
    <row r="256">
      <c r="A256" s="6" t="str">
        <f>HYPERLINK("https://archive.ph/o/kCXAs/https://web-beta.archive.org/web/20130315140312/http://clopfic.heroku.com/fics/1174", "A Learning Experience")</f>
        <v>A Learning Experience</v>
      </c>
      <c r="D256" s="7" t="s">
        <v>37</v>
      </c>
      <c r="H256" s="8" t="s">
        <v>314</v>
      </c>
      <c r="I256" s="6" t="str">
        <f>HYPERLINK("https://archive.ph/o/kCXAs/https://web-beta.archive.org/web/20130315140312/http://clopfic.heroku.com/authors/1060", "TheBandBrony")</f>
        <v>TheBandBrony</v>
      </c>
      <c r="J256" s="7" t="s">
        <v>39</v>
      </c>
      <c r="P256" s="7" t="s">
        <v>64</v>
      </c>
      <c r="Z256" s="7" t="s">
        <v>40</v>
      </c>
      <c r="AF256" s="7" t="s">
        <v>41</v>
      </c>
      <c r="AG256" s="9">
        <v>41073.0</v>
      </c>
      <c r="AH256" s="9">
        <v>41096.0</v>
      </c>
    </row>
    <row r="257">
      <c r="A257" s="6" t="str">
        <f>HYPERLINK("https://archive.ph/o/kCXAs/https://web-beta.archive.org/web/20130315140312/http://clopfic.heroku.com/fics/978", "An Elusive Evening")</f>
        <v>An Elusive Evening</v>
      </c>
      <c r="E257" s="7" t="s">
        <v>44</v>
      </c>
      <c r="H257" s="8" t="s">
        <v>315</v>
      </c>
      <c r="I257" s="6" t="str">
        <f>HYPERLINK("https://archive.ph/o/kCXAs/https://web-beta.archive.org/web/20130315140312/http://clopfic.heroku.com/authors/81", "Co/smonaut petro/v/")</f>
        <v>Co/smonaut petro/v/</v>
      </c>
      <c r="L257" s="7" t="s">
        <v>62</v>
      </c>
      <c r="N257" s="7" t="s">
        <v>47</v>
      </c>
      <c r="O257" s="7" t="s">
        <v>51</v>
      </c>
      <c r="R257" s="7" t="s">
        <v>66</v>
      </c>
      <c r="U257" s="7" t="s">
        <v>60</v>
      </c>
      <c r="V257" s="7" t="s">
        <v>71</v>
      </c>
      <c r="AG257" s="9">
        <v>41014.0</v>
      </c>
      <c r="AH257" s="9">
        <v>41096.0</v>
      </c>
    </row>
    <row r="258">
      <c r="A258" s="6" t="str">
        <f>HYPERLINK("https://archive.ph/o/kCXAs/https://web-beta.archive.org/web/20130315140312/http://clopfic.heroku.com/fics/1244", "Preggy Pie")</f>
        <v>Preggy Pie</v>
      </c>
      <c r="C258" s="7" t="s">
        <v>54</v>
      </c>
      <c r="E258" s="7" t="s">
        <v>44</v>
      </c>
      <c r="F258" s="7" t="s">
        <v>52</v>
      </c>
      <c r="H258" s="8" t="s">
        <v>316</v>
      </c>
      <c r="I258" s="6" t="str">
        <f>HYPERLINK("https://archive.ph/o/kCXAs/https://web-beta.archive.org/web/20130315140312/http://clopfic.heroku.com/authors/1195", "Cloudwell")</f>
        <v>Cloudwell</v>
      </c>
      <c r="J258" s="7" t="s">
        <v>39</v>
      </c>
      <c r="K258" s="7" t="s">
        <v>49</v>
      </c>
      <c r="L258" s="7" t="s">
        <v>62</v>
      </c>
      <c r="M258" s="7" t="s">
        <v>56</v>
      </c>
      <c r="N258" s="7" t="s">
        <v>47</v>
      </c>
      <c r="O258" s="7" t="s">
        <v>51</v>
      </c>
      <c r="Z258" s="7" t="s">
        <v>40</v>
      </c>
      <c r="AF258" s="7" t="s">
        <v>41</v>
      </c>
      <c r="AG258" s="9">
        <v>41096.0</v>
      </c>
      <c r="AH258" s="9">
        <v>41096.0</v>
      </c>
    </row>
    <row r="259">
      <c r="A259" s="6" t="str">
        <f>HYPERLINK("https://archive.ph/o/kCXAs/https://web-beta.archive.org/web/20130315140312/http://clopfic.heroku.com/fics/1242", "A Loving Reunion")</f>
        <v>A Loving Reunion</v>
      </c>
      <c r="C259" s="7" t="s">
        <v>54</v>
      </c>
      <c r="H259" s="8" t="s">
        <v>317</v>
      </c>
      <c r="I259" s="6" t="str">
        <f>HYPERLINK("https://archive.ph/o/kCXAs/https://web-beta.archive.org/web/20130315140312/http://clopfic.heroku.com/authors/1192", "ePonymous")</f>
        <v>ePonymous</v>
      </c>
      <c r="M259" s="7" t="s">
        <v>56</v>
      </c>
      <c r="Z259" s="7" t="s">
        <v>40</v>
      </c>
      <c r="AE259" s="7" t="s">
        <v>43</v>
      </c>
      <c r="AG259" s="9">
        <v>41095.0</v>
      </c>
      <c r="AH259" s="9">
        <v>41095.0</v>
      </c>
    </row>
    <row r="260">
      <c r="A260" s="6" t="str">
        <f>HYPERLINK("https://archive.ph/o/kCXAs/https://web-beta.archive.org/web/20130315140312/http://clopfic.heroku.com/fics/1241", "Lunch ")</f>
        <v>Lunch </v>
      </c>
      <c r="H260" s="8" t="s">
        <v>318</v>
      </c>
      <c r="I260" s="6" t="str">
        <f>HYPERLINK("https://archive.ph/o/kCXAs/https://web-beta.archive.org/web/20130315140312/http://clopfic.heroku.com/authors/1", "RagingSemi")</f>
        <v>RagingSemi</v>
      </c>
      <c r="AF260" s="7" t="s">
        <v>41</v>
      </c>
      <c r="AG260" s="9">
        <v>41094.0</v>
      </c>
      <c r="AH260" s="9">
        <v>41094.0</v>
      </c>
    </row>
    <row r="261">
      <c r="A261" s="6" t="str">
        <f>HYPERLINK("https://archive.ph/o/kCXAs/https://web-beta.archive.org/web/20130315140312/http://clopfic.heroku.com/fics/1240", "That Time of Year")</f>
        <v>That Time of Year</v>
      </c>
      <c r="H261" s="8" t="s">
        <v>319</v>
      </c>
      <c r="I261" s="6" t="str">
        <f>HYPERLINK("https://archive.ph/o/kCXAs/https://web-beta.archive.org/web/20130315140312/http://clopfic.heroku.com/authors/1190", "Fernin")</f>
        <v>Fernin</v>
      </c>
      <c r="X261" s="7" t="s">
        <v>107</v>
      </c>
      <c r="AF261" s="7" t="s">
        <v>41</v>
      </c>
      <c r="AG261" s="9">
        <v>41094.0</v>
      </c>
      <c r="AH261" s="9">
        <v>41094.0</v>
      </c>
    </row>
    <row r="262">
      <c r="A262" s="6" t="str">
        <f>HYPERLINK("https://archive.ph/o/kCXAs/https://web-beta.archive.org/web/20130315140312/http://clopfic.heroku.com/fics/1239", "Always")</f>
        <v>Always</v>
      </c>
      <c r="E262" s="7" t="s">
        <v>44</v>
      </c>
      <c r="H262" s="8" t="s">
        <v>320</v>
      </c>
      <c r="I262" s="6" t="str">
        <f>HYPERLINK("https://archive.ph/o/kCXAs/https://web-beta.archive.org/web/20130315140312/http://clopfic.heroku.com/authors/1184", "In_The_Sun")</f>
        <v>In_The_Sun</v>
      </c>
      <c r="J262" s="7" t="s">
        <v>39</v>
      </c>
      <c r="K262" s="7" t="s">
        <v>49</v>
      </c>
      <c r="AG262" s="9">
        <v>41093.0</v>
      </c>
      <c r="AH262" s="9">
        <v>41093.0</v>
      </c>
    </row>
    <row r="263">
      <c r="A263" s="6" t="str">
        <f>HYPERLINK("https://archive.ph/o/kCXAs/https://web-beta.archive.org/web/20130315140312/http://clopfic.heroku.com/fics/1110", "Trixie's Magnificent Journey")</f>
        <v>Trixie's Magnificent Journey</v>
      </c>
      <c r="E263" s="7" t="s">
        <v>44</v>
      </c>
      <c r="F263" s="7" t="s">
        <v>52</v>
      </c>
      <c r="H263" s="8" t="s">
        <v>321</v>
      </c>
      <c r="I263" s="6" t="str">
        <f>HYPERLINK("https://archive.ph/o/kCXAs/https://web-beta.archive.org/web/20130315140312/http://clopfic.heroku.com/authors/672", "Plotface")</f>
        <v>Plotface</v>
      </c>
      <c r="J263" s="7" t="s">
        <v>39</v>
      </c>
      <c r="K263" s="7" t="s">
        <v>49</v>
      </c>
      <c r="W263" s="7" t="s">
        <v>69</v>
      </c>
      <c r="AG263" s="9">
        <v>41055.0</v>
      </c>
      <c r="AH263" s="9">
        <v>41091.0</v>
      </c>
    </row>
    <row r="264">
      <c r="A264" s="6" t="str">
        <f>HYPERLINK("https://archive.ph/o/kCXAs/https://web-beta.archive.org/web/20130315140312/http://clopfic.heroku.com/fics/1238", "Taming of the Screw 2: Doubly Screwed")</f>
        <v>Taming of the Screw 2: Doubly Screwed</v>
      </c>
      <c r="D264" s="7" t="s">
        <v>37</v>
      </c>
      <c r="F264" s="7" t="s">
        <v>52</v>
      </c>
      <c r="H264" s="8" t="s">
        <v>322</v>
      </c>
      <c r="I264" s="6" t="str">
        <f>HYPERLINK("https://archive.ph/o/kCXAs/https://web-beta.archive.org/web/20130315140312/http://clopfic.heroku.com/authors/1133", "Bronystories")</f>
        <v>Bronystories</v>
      </c>
      <c r="AE264" s="7" t="s">
        <v>43</v>
      </c>
      <c r="AF264" s="7" t="s">
        <v>41</v>
      </c>
      <c r="AG264" s="9">
        <v>41091.0</v>
      </c>
      <c r="AH264" s="9">
        <v>41091.0</v>
      </c>
    </row>
    <row r="265">
      <c r="A265" s="6" t="str">
        <f>HYPERLINK("https://archive.ph/o/kCXAs/https://web-beta.archive.org/web/20130315140312/http://clopfic.heroku.com/fics/1236", "Bobbins and Ballons")</f>
        <v>Bobbins and Ballons</v>
      </c>
      <c r="C265" s="7" t="s">
        <v>54</v>
      </c>
      <c r="E265" s="7" t="s">
        <v>44</v>
      </c>
      <c r="F265" s="7" t="s">
        <v>52</v>
      </c>
      <c r="H265" s="8" t="s">
        <v>323</v>
      </c>
      <c r="I265" s="6" t="str">
        <f>HYPERLINK("https://archive.ph/o/kCXAs/https://web-beta.archive.org/web/20130315140312/http://clopfic.heroku.com/authors/1181", "SnapPea")</f>
        <v>SnapPea</v>
      </c>
      <c r="K265" s="7" t="s">
        <v>49</v>
      </c>
      <c r="N265" s="7" t="s">
        <v>47</v>
      </c>
      <c r="AG265" s="9">
        <v>41091.0</v>
      </c>
      <c r="AH265" s="9">
        <v>41091.0</v>
      </c>
    </row>
    <row r="266">
      <c r="A266" s="6" t="str">
        <f>HYPERLINK("https://archive.ph/o/kCXAs/https://web-beta.archive.org/web/20130315140312/http://clopfic.heroku.com/fics/1214", "Taming of the Screw")</f>
        <v>Taming of the Screw</v>
      </c>
      <c r="B266" s="7" t="s">
        <v>36</v>
      </c>
      <c r="D266" s="7" t="s">
        <v>37</v>
      </c>
      <c r="H266" s="8" t="s">
        <v>324</v>
      </c>
      <c r="I266" s="6" t="str">
        <f>HYPERLINK("https://archive.ph/o/kCXAs/https://web-beta.archive.org/web/20130315140312/http://clopfic.heroku.com/authors/1133", "Bronystories")</f>
        <v>Bronystories</v>
      </c>
      <c r="Z266" s="7" t="s">
        <v>40</v>
      </c>
      <c r="AF266" s="7" t="s">
        <v>41</v>
      </c>
      <c r="AG266" s="9">
        <v>41085.0</v>
      </c>
      <c r="AH266" s="9">
        <v>41090.0</v>
      </c>
    </row>
    <row r="267">
      <c r="A267" s="6" t="str">
        <f>HYPERLINK("https://archive.ph/o/kCXAs/https://web-beta.archive.org/web/20130315140312/http://clopfic.heroku.com/fics/1232", "Carousel")</f>
        <v>Carousel</v>
      </c>
      <c r="B267" s="7" t="s">
        <v>36</v>
      </c>
      <c r="H267" s="8" t="s">
        <v>325</v>
      </c>
      <c r="I267" s="6" t="str">
        <f>HYPERLINK("https://archive.ph/o/kCXAs/https://web-beta.archive.org/web/20130315140312/http://clopfic.heroku.com/authors/68", "DarkJester")</f>
        <v>DarkJester</v>
      </c>
      <c r="N267" s="7" t="s">
        <v>47</v>
      </c>
      <c r="AG267" s="9">
        <v>41089.0</v>
      </c>
      <c r="AH267" s="9">
        <v>41090.0</v>
      </c>
    </row>
    <row r="268">
      <c r="A268" s="6" t="str">
        <f>HYPERLINK("https://archive.ph/o/kCXAs/https://web-beta.archive.org/web/20130315140312/http://clopfic.heroku.com/fics/1227", "Butterflies and Thunderbolts")</f>
        <v>Butterflies and Thunderbolts</v>
      </c>
      <c r="B268" s="7" t="s">
        <v>36</v>
      </c>
      <c r="E268" s="7" t="s">
        <v>44</v>
      </c>
      <c r="H268" s="8" t="s">
        <v>326</v>
      </c>
      <c r="I268" s="6" t="str">
        <f>HYPERLINK("https://archive.ph/o/kCXAs/https://web-beta.archive.org/web/20130315140312/http://clopfic.heroku.com/authors/1164", "flutterfucker")</f>
        <v>flutterfucker</v>
      </c>
      <c r="M268" s="7" t="s">
        <v>56</v>
      </c>
      <c r="O268" s="7" t="s">
        <v>51</v>
      </c>
      <c r="T268" s="7" t="s">
        <v>59</v>
      </c>
      <c r="Z268" s="7" t="s">
        <v>40</v>
      </c>
      <c r="AF268" s="7" t="s">
        <v>41</v>
      </c>
      <c r="AG268" s="9">
        <v>41086.0</v>
      </c>
      <c r="AH268" s="9">
        <v>41089.0</v>
      </c>
    </row>
    <row r="269">
      <c r="A269" s="6" t="str">
        <f>HYPERLINK("https://archive.ph/o/kCXAs/https://web-beta.archive.org/web/20130315140312/http://clopfic.heroku.com/fics/1230", "Archery")</f>
        <v>Archery</v>
      </c>
      <c r="C269" s="7" t="s">
        <v>54</v>
      </c>
      <c r="E269" s="7" t="s">
        <v>44</v>
      </c>
      <c r="H269" s="8" t="s">
        <v>327</v>
      </c>
      <c r="I269" s="6" t="str">
        <f>HYPERLINK("https://archive.ph/o/kCXAs/https://web-beta.archive.org/web/20130315140312/http://clopfic.heroku.com/authors/1000", "Maple Sunset")</f>
        <v>Maple Sunset</v>
      </c>
      <c r="Z269" s="7" t="s">
        <v>40</v>
      </c>
      <c r="AF269" s="7" t="s">
        <v>41</v>
      </c>
      <c r="AG269" s="9">
        <v>41088.0</v>
      </c>
      <c r="AH269" s="9">
        <v>41089.0</v>
      </c>
    </row>
    <row r="270">
      <c r="A270" s="6" t="str">
        <f>HYPERLINK("https://archive.ph/o/kCXAs/https://web-beta.archive.org/web/20130315140312/http://clopfic.heroku.com/fics/1165", "Competent Villains: Chrysalis")</f>
        <v>Competent Villains: Chrysalis</v>
      </c>
      <c r="B270" s="7" t="s">
        <v>36</v>
      </c>
      <c r="D270" s="7" t="s">
        <v>37</v>
      </c>
      <c r="E270" s="7" t="s">
        <v>44</v>
      </c>
      <c r="F270" s="7" t="s">
        <v>52</v>
      </c>
      <c r="H270" s="8" t="s">
        <v>328</v>
      </c>
      <c r="I270" s="6" t="str">
        <f>HYPERLINK("https://archive.ph/o/kCXAs/https://web-beta.archive.org/web/20130315140312/http://clopfic.heroku.com/authors/1041", "Tailsopony")</f>
        <v>Tailsopony</v>
      </c>
      <c r="J270" s="7" t="s">
        <v>39</v>
      </c>
      <c r="K270" s="7" t="s">
        <v>49</v>
      </c>
      <c r="L270" s="7" t="s">
        <v>62</v>
      </c>
      <c r="M270" s="7" t="s">
        <v>56</v>
      </c>
      <c r="N270" s="7" t="s">
        <v>47</v>
      </c>
      <c r="O270" s="7" t="s">
        <v>51</v>
      </c>
      <c r="P270" s="7" t="s">
        <v>64</v>
      </c>
      <c r="Q270" s="7" t="s">
        <v>65</v>
      </c>
      <c r="Z270" s="7" t="s">
        <v>40</v>
      </c>
      <c r="AE270" s="7" t="s">
        <v>43</v>
      </c>
      <c r="AF270" s="7" t="s">
        <v>41</v>
      </c>
      <c r="AG270" s="9">
        <v>41068.0</v>
      </c>
      <c r="AH270" s="9">
        <v>41087.0</v>
      </c>
    </row>
    <row r="271">
      <c r="A271" s="6" t="str">
        <f>HYPERLINK("https://archive.ph/o/kCXAs/https://web-beta.archive.org/web/20130315140312/http://clopfic.heroku.com/fics/1229", "MASH: Put to the Test")</f>
        <v>MASH: Put to the Test</v>
      </c>
      <c r="C271" s="7" t="s">
        <v>54</v>
      </c>
      <c r="E271" s="7" t="s">
        <v>44</v>
      </c>
      <c r="H271" s="8" t="s">
        <v>329</v>
      </c>
      <c r="I271" s="6" t="str">
        <f>HYPERLINK("https://archive.ph/o/kCXAs/https://web-beta.archive.org/web/20130315140312/http://clopfic.heroku.com/authors/1167", "Andrew J. Talon")</f>
        <v>Andrew J. Talon</v>
      </c>
      <c r="M271" s="7" t="s">
        <v>56</v>
      </c>
      <c r="Z271" s="7" t="s">
        <v>40</v>
      </c>
      <c r="AE271" s="7" t="s">
        <v>43</v>
      </c>
      <c r="AG271" s="9">
        <v>41087.0</v>
      </c>
      <c r="AH271" s="9">
        <v>41087.0</v>
      </c>
    </row>
    <row r="272">
      <c r="A272" s="6" t="str">
        <f>HYPERLINK("https://archive.ph/o/kCXAs/https://web-beta.archive.org/web/20130315140312/http://clopfic.heroku.com/fics/1228", "Crescendo Molto")</f>
        <v>Crescendo Molto</v>
      </c>
      <c r="E272" s="7" t="s">
        <v>44</v>
      </c>
      <c r="H272" s="8" t="s">
        <v>330</v>
      </c>
      <c r="I272" s="6" t="str">
        <f>HYPERLINK("https://archive.ph/o/kCXAs/https://web-beta.archive.org/web/20130315140312/http://clopfic.heroku.com/authors/1166", "Lucefudu")</f>
        <v>Lucefudu</v>
      </c>
      <c r="AE272" s="7" t="s">
        <v>43</v>
      </c>
      <c r="AF272" s="7" t="s">
        <v>41</v>
      </c>
      <c r="AG272" s="9">
        <v>41087.0</v>
      </c>
      <c r="AH272" s="9">
        <v>41087.0</v>
      </c>
    </row>
    <row r="273">
      <c r="A273" s="6" t="str">
        <f>HYPERLINK("https://archive.ph/o/kCXAs/https://web-beta.archive.org/web/20130315140312/http://clopfic.heroku.com/fics/1226", "Momma Fluttershy")</f>
        <v>Momma Fluttershy</v>
      </c>
      <c r="B273" s="7" t="s">
        <v>36</v>
      </c>
      <c r="H273" s="8" t="s">
        <v>331</v>
      </c>
      <c r="I273" s="6" t="str">
        <f>HYPERLINK("https://archive.ph/o/kCXAs/https://web-beta.archive.org/web/20130315140312/http://clopfic.heroku.com/authors/796", "Soul Hook")</f>
        <v>Soul Hook</v>
      </c>
      <c r="J273" s="7" t="s">
        <v>39</v>
      </c>
      <c r="O273" s="7" t="s">
        <v>51</v>
      </c>
      <c r="V273" s="7" t="s">
        <v>71</v>
      </c>
      <c r="AG273" s="9">
        <v>41086.0</v>
      </c>
      <c r="AH273" s="9">
        <v>41086.0</v>
      </c>
    </row>
    <row r="274">
      <c r="A274" s="6" t="str">
        <f>HYPERLINK("https://archive.ph/o/kCXAs/https://web-beta.archive.org/web/20130315140312/http://clopfic.heroku.com/fics/1225", "Nipped in the Bud")</f>
        <v>Nipped in the Bud</v>
      </c>
      <c r="B274" s="7" t="s">
        <v>36</v>
      </c>
      <c r="D274" s="7" t="s">
        <v>37</v>
      </c>
      <c r="H274" s="8" t="s">
        <v>332</v>
      </c>
      <c r="I274" s="6" t="str">
        <f>HYPERLINK("https://archive.ph/o/kCXAs/https://web-beta.archive.org/web/20130315140312/http://clopfic.heroku.com/authors/1163", "Ravaged Angel")</f>
        <v>Ravaged Angel</v>
      </c>
      <c r="J274" s="7" t="s">
        <v>39</v>
      </c>
      <c r="AF274" s="7" t="s">
        <v>41</v>
      </c>
      <c r="AG274" s="9">
        <v>41086.0</v>
      </c>
      <c r="AH274" s="9">
        <v>41086.0</v>
      </c>
    </row>
    <row r="275">
      <c r="A275" s="6" t="str">
        <f>HYPERLINK("https://archive.ph/o/kCXAs/https://web-beta.archive.org/web/20130315140312/http://clopfic.heroku.com/fics/1224", "Rainbows rape")</f>
        <v>Rainbows rape</v>
      </c>
      <c r="B275" s="7" t="s">
        <v>36</v>
      </c>
      <c r="H275" s="8" t="s">
        <v>333</v>
      </c>
      <c r="I275" s="6" t="str">
        <f>HYPERLINK("https://archive.ph/o/kCXAs/https://web-beta.archive.org/web/20130315140312/http://clopfic.heroku.com/fics", "/fics")</f>
        <v>/fics</v>
      </c>
      <c r="M275" s="7" t="s">
        <v>56</v>
      </c>
      <c r="AG275" s="9">
        <v>41086.0</v>
      </c>
      <c r="AH275" s="9">
        <v>41086.0</v>
      </c>
    </row>
    <row r="276">
      <c r="A276" s="6" t="str">
        <f>HYPERLINK("https://archive.ph/o/kCXAs/https://web-beta.archive.org/web/20130315140312/http://clopfic.heroku.com/fics/1223", "Leo's Final Tale")</f>
        <v>Leo's Final Tale</v>
      </c>
      <c r="D276" s="7" t="s">
        <v>37</v>
      </c>
      <c r="E276" s="7" t="s">
        <v>44</v>
      </c>
      <c r="H276" s="8" t="s">
        <v>334</v>
      </c>
      <c r="I276" s="6" t="str">
        <f>HYPERLINK("https://archive.ph/o/kCXAs/https://web-beta.archive.org/web/20130315140312/http://clopfic.heroku.com/authors/1036", "Leo Rockheart")</f>
        <v>Leo Rockheart</v>
      </c>
      <c r="J276" s="7" t="s">
        <v>39</v>
      </c>
      <c r="R276" s="7" t="s">
        <v>66</v>
      </c>
      <c r="V276" s="7" t="s">
        <v>71</v>
      </c>
      <c r="Z276" s="7" t="s">
        <v>40</v>
      </c>
      <c r="AE276" s="7" t="s">
        <v>43</v>
      </c>
      <c r="AF276" s="7" t="s">
        <v>41</v>
      </c>
      <c r="AG276" s="9">
        <v>41086.0</v>
      </c>
      <c r="AH276" s="9">
        <v>41086.0</v>
      </c>
    </row>
    <row r="277">
      <c r="A277" s="6" t="str">
        <f>HYPERLINK("https://archive.ph/o/kCXAs/https://web-beta.archive.org/web/20130315140312/http://clopfic.heroku.com/fics/1222", "Fight or Flee? (Fluttershy's Final Dilemma)")</f>
        <v>Fight or Flee? (Fluttershy's Final Dilemma)</v>
      </c>
      <c r="B277" s="7" t="s">
        <v>36</v>
      </c>
      <c r="D277" s="7" t="s">
        <v>37</v>
      </c>
      <c r="F277" s="7" t="s">
        <v>52</v>
      </c>
      <c r="H277" s="3"/>
      <c r="I277" s="6" t="str">
        <f>HYPERLINK("https://archive.ph/o/kCXAs/https://web-beta.archive.org/web/20130315140312/http://clopfic.heroku.com/authors/1160", "clue3086")</f>
        <v>clue3086</v>
      </c>
      <c r="L277" s="7" t="s">
        <v>62</v>
      </c>
      <c r="M277" s="7" t="s">
        <v>56</v>
      </c>
      <c r="O277" s="7" t="s">
        <v>51</v>
      </c>
      <c r="AG277" s="9">
        <v>41086.0</v>
      </c>
      <c r="AH277" s="9">
        <v>41086.0</v>
      </c>
    </row>
    <row r="278">
      <c r="A278" s="6" t="str">
        <f>HYPERLINK("https://archive.ph/o/kCXAs/https://web-beta.archive.org/web/20130315140312/http://clopfic.heroku.com/fics/1147", "The dog days of Ponyville, Redux")</f>
        <v>The dog days of Ponyville, Redux</v>
      </c>
      <c r="D278" s="7" t="s">
        <v>37</v>
      </c>
      <c r="E278" s="7" t="s">
        <v>44</v>
      </c>
      <c r="H278" s="8" t="s">
        <v>335</v>
      </c>
      <c r="I278" s="6" t="str">
        <f>HYPERLINK("https://archive.ph/o/kCXAs/https://web-beta.archive.org/web/20130315140312/http://clopfic.heroku.com/authors/949", "KinkyCelestia")</f>
        <v>KinkyCelestia</v>
      </c>
      <c r="Z278" s="7" t="s">
        <v>40</v>
      </c>
      <c r="AF278" s="7" t="s">
        <v>41</v>
      </c>
      <c r="AG278" s="9">
        <v>41064.0</v>
      </c>
      <c r="AH278" s="9">
        <v>41085.0</v>
      </c>
    </row>
    <row r="279">
      <c r="A279" s="6" t="str">
        <f>HYPERLINK("https://archive.ph/o/kCXAs/https://web-beta.archive.org/web/20130315140312/http://clopfic.heroku.com/fics/1220", "Assertiveshy.")</f>
        <v>Assertiveshy.</v>
      </c>
      <c r="E279" s="7" t="s">
        <v>44</v>
      </c>
      <c r="H279" s="8" t="s">
        <v>336</v>
      </c>
      <c r="I279" s="6" t="str">
        <f>HYPERLINK("https://archive.ph/o/kCXAs/https://web-beta.archive.org/web/20130315140312/http://clopfic.heroku.com/authors/784", "Mr. Unsmiley")</f>
        <v>Mr. Unsmiley</v>
      </c>
      <c r="J279" s="7" t="s">
        <v>39</v>
      </c>
      <c r="K279" s="7" t="s">
        <v>49</v>
      </c>
      <c r="L279" s="7" t="s">
        <v>62</v>
      </c>
      <c r="M279" s="7" t="s">
        <v>56</v>
      </c>
      <c r="N279" s="7" t="s">
        <v>47</v>
      </c>
      <c r="O279" s="7" t="s">
        <v>51</v>
      </c>
      <c r="AG279" s="9">
        <v>41085.0</v>
      </c>
      <c r="AH279" s="9">
        <v>41085.0</v>
      </c>
    </row>
    <row r="280">
      <c r="A280" s="6" t="str">
        <f>HYPERLINK("https://archive.ph/o/kCXAs/https://web-beta.archive.org/web/20130315140312/http://clopfic.heroku.com/fics/537", "The Chronicles of Princess Molestia")</f>
        <v>The Chronicles of Princess Molestia</v>
      </c>
      <c r="E280" s="7" t="s">
        <v>44</v>
      </c>
      <c r="F280" s="7" t="s">
        <v>52</v>
      </c>
      <c r="H280" s="8" t="s">
        <v>337</v>
      </c>
      <c r="I280" s="6" t="str">
        <f>HYPERLINK("https://archive.ph/o/kCXAs/https://web-beta.archive.org/web/20130315140312/http://clopfic.heroku.com/authors/584", "Cloperella")</f>
        <v>Cloperella</v>
      </c>
      <c r="J280" s="7" t="s">
        <v>39</v>
      </c>
      <c r="P280" s="7" t="s">
        <v>64</v>
      </c>
      <c r="Q280" s="7" t="s">
        <v>65</v>
      </c>
      <c r="AG280" s="9">
        <v>40838.0</v>
      </c>
      <c r="AH280" s="9">
        <v>41085.0</v>
      </c>
    </row>
    <row r="281">
      <c r="A281" s="6" t="str">
        <f>HYPERLINK("https://archive.ph/o/kCXAs/https://web-beta.archive.org/web/20130315140312/http://clopfic.heroku.com/fics/1218", "Twilight Doesn't Sparkle")</f>
        <v>Twilight Doesn't Sparkle</v>
      </c>
      <c r="E281" s="7" t="s">
        <v>44</v>
      </c>
      <c r="H281" s="8" t="s">
        <v>338</v>
      </c>
      <c r="I281" s="6" t="str">
        <f>HYPERLINK("https://archive.ph/o/kCXAs/https://web-beta.archive.org/web/20130315140312/http://clopfic.heroku.com/authors/761", "SuaveJelly")</f>
        <v>SuaveJelly</v>
      </c>
      <c r="J281" s="7" t="s">
        <v>39</v>
      </c>
      <c r="Z281" s="7" t="s">
        <v>40</v>
      </c>
      <c r="AF281" s="7" t="s">
        <v>41</v>
      </c>
      <c r="AG281" s="9">
        <v>41085.0</v>
      </c>
      <c r="AH281" s="9">
        <v>41085.0</v>
      </c>
    </row>
    <row r="282">
      <c r="A282" s="6" t="str">
        <f>HYPERLINK("https://archive.ph/o/kCXAs/https://web-beta.archive.org/web/20130315140312/http://clopfic.heroku.com/fics/1210", "It Doesn't Count")</f>
        <v>It Doesn't Count</v>
      </c>
      <c r="E282" s="7" t="s">
        <v>44</v>
      </c>
      <c r="H282" s="8" t="s">
        <v>339</v>
      </c>
      <c r="I282" s="6" t="str">
        <f>HYPERLINK("https://archive.ph/o/kCXAs/https://web-beta.archive.org/web/20130315140312/http://clopfic.heroku.com/authors/253", "TAW")</f>
        <v>TAW</v>
      </c>
      <c r="Z282" s="7" t="s">
        <v>40</v>
      </c>
      <c r="AE282" s="7" t="s">
        <v>43</v>
      </c>
      <c r="AG282" s="9">
        <v>41084.0</v>
      </c>
      <c r="AH282" s="9">
        <v>41085.0</v>
      </c>
    </row>
    <row r="283">
      <c r="A283" s="6" t="str">
        <f>HYPERLINK("https://archive.ph/o/kCXAs/https://web-beta.archive.org/web/20130315140312/http://clopfic.heroku.com/fics/1200", "Tipsy")</f>
        <v>Tipsy</v>
      </c>
      <c r="H283" s="8" t="s">
        <v>340</v>
      </c>
      <c r="I283" s="6" t="str">
        <f>HYPERLINK("https://archive.ph/o/kCXAs/https://web-beta.archive.org/web/20130315140312/http://clopfic.heroku.com/authors/681", "Anonymous Pegasus")</f>
        <v>Anonymous Pegasus</v>
      </c>
      <c r="J283" s="7" t="s">
        <v>39</v>
      </c>
      <c r="P283" s="7" t="s">
        <v>64</v>
      </c>
      <c r="Q283" s="7" t="s">
        <v>65</v>
      </c>
      <c r="AG283" s="9">
        <v>41081.0</v>
      </c>
      <c r="AH283" s="9">
        <v>41085.0</v>
      </c>
    </row>
    <row r="284">
      <c r="A284" s="6" t="str">
        <f>HYPERLINK("https://archive.ph/o/kCXAs/https://web-beta.archive.org/web/20130315140312/http://clopfic.heroku.com/fics/1204", "A Clopfic by...Spike??")</f>
        <v>A Clopfic by...Spike??</v>
      </c>
      <c r="G284" s="7" t="s">
        <v>75</v>
      </c>
      <c r="H284" s="8" t="s">
        <v>341</v>
      </c>
      <c r="I284" s="6" t="str">
        <f>HYPERLINK("https://archive.ph/o/kCXAs/https://web-beta.archive.org/web/20130315140312/http://clopfic.heroku.com/authors/1154", "Sabre Blade")</f>
        <v>Sabre Blade</v>
      </c>
      <c r="J284" s="7" t="s">
        <v>39</v>
      </c>
      <c r="K284" s="7" t="s">
        <v>49</v>
      </c>
      <c r="L284" s="7" t="s">
        <v>62</v>
      </c>
      <c r="M284" s="7" t="s">
        <v>56</v>
      </c>
      <c r="N284" s="7" t="s">
        <v>47</v>
      </c>
      <c r="O284" s="7" t="s">
        <v>51</v>
      </c>
      <c r="P284" s="7" t="s">
        <v>64</v>
      </c>
      <c r="Q284" s="7" t="s">
        <v>65</v>
      </c>
      <c r="R284" s="7" t="s">
        <v>66</v>
      </c>
      <c r="S284" s="7" t="s">
        <v>68</v>
      </c>
      <c r="T284" s="7" t="s">
        <v>59</v>
      </c>
      <c r="U284" s="7" t="s">
        <v>60</v>
      </c>
      <c r="AG284" s="9">
        <v>41083.0</v>
      </c>
      <c r="AH284" s="9">
        <v>41085.0</v>
      </c>
    </row>
    <row r="285">
      <c r="A285" s="6" t="str">
        <f>HYPERLINK("https://archive.ph/o/kCXAs/https://web-beta.archive.org/web/20130315140312/http://clopfic.heroku.com/fics/1205", "The Many Loves of Pinkie Pie")</f>
        <v>The Many Loves of Pinkie Pie</v>
      </c>
      <c r="D285" s="7" t="s">
        <v>37</v>
      </c>
      <c r="H285" s="8" t="s">
        <v>342</v>
      </c>
      <c r="I285" s="6" t="str">
        <f>HYPERLINK("https://archive.ph/o/kCXAs/https://web-beta.archive.org/web/20130315140312/http://clopfic.heroku.com/authors/1101", "HamGravy")</f>
        <v>HamGravy</v>
      </c>
      <c r="J285" s="7" t="s">
        <v>39</v>
      </c>
      <c r="K285" s="7" t="s">
        <v>49</v>
      </c>
      <c r="AG285" s="9">
        <v>41083.0</v>
      </c>
      <c r="AH285" s="9">
        <v>41085.0</v>
      </c>
    </row>
    <row r="286">
      <c r="A286" s="6" t="str">
        <f>HYPERLINK("https://archive.ph/o/kCXAs/https://web-beta.archive.org/web/20130315140312/http://clopfic.heroku.com/fics/975", "Rarity's Free Time")</f>
        <v>Rarity's Free Time</v>
      </c>
      <c r="D286" s="7" t="s">
        <v>37</v>
      </c>
      <c r="G286" s="7" t="s">
        <v>75</v>
      </c>
      <c r="H286" s="8" t="s">
        <v>343</v>
      </c>
      <c r="I286" s="6" t="str">
        <f>HYPERLINK("https://archive.ph/o/kCXAs/https://web-beta.archive.org/web/20130315140312/http://clopfic.heroku.com/authors/1151", "Dextrarity")</f>
        <v>Dextrarity</v>
      </c>
      <c r="N286" s="7" t="s">
        <v>47</v>
      </c>
      <c r="AG286" s="9">
        <v>41013.0</v>
      </c>
      <c r="AH286" s="9">
        <v>41085.0</v>
      </c>
    </row>
    <row r="287">
      <c r="A287" s="6" t="str">
        <f>HYPERLINK("https://archive.ph/o/kCXAs/https://web-beta.archive.org/web/20130315140312/http://clopfic.heroku.com/fics/1207", "More than One Way to Please a Lady")</f>
        <v>More than One Way to Please a Lady</v>
      </c>
      <c r="D287" s="7" t="s">
        <v>37</v>
      </c>
      <c r="E287" s="7" t="s">
        <v>44</v>
      </c>
      <c r="H287" s="8" t="s">
        <v>344</v>
      </c>
      <c r="I287" s="6" t="str">
        <f>HYPERLINK("https://archive.ph/o/kCXAs/https://web-beta.archive.org/web/20130315140312/http://clopfic.heroku.com/authors/1149", "Clavier")</f>
        <v>Clavier</v>
      </c>
      <c r="M287" s="7" t="s">
        <v>56</v>
      </c>
      <c r="N287" s="7" t="s">
        <v>47</v>
      </c>
      <c r="R287" s="7" t="s">
        <v>66</v>
      </c>
      <c r="Z287" s="7" t="s">
        <v>40</v>
      </c>
      <c r="AE287" s="7" t="s">
        <v>43</v>
      </c>
      <c r="AF287" s="7" t="s">
        <v>41</v>
      </c>
      <c r="AG287" s="9">
        <v>41084.0</v>
      </c>
      <c r="AH287" s="9">
        <v>41085.0</v>
      </c>
    </row>
    <row r="288">
      <c r="A288" s="6" t="str">
        <f>HYPERLINK("https://archive.ph/o/kCXAs/https://web-beta.archive.org/web/20130315140312/http://clopfic.heroku.com/fics/1215", "First Heat")</f>
        <v>First Heat</v>
      </c>
      <c r="H288" s="8" t="s">
        <v>345</v>
      </c>
      <c r="I288" s="6" t="str">
        <f>HYPERLINK("https://archive.ph/o/kCXAs/https://web-beta.archive.org/web/20130315140312/http://clopfic.heroku.com/authors/81", "Co/smonaut petro/v/")</f>
        <v>Co/smonaut petro/v/</v>
      </c>
      <c r="M288" s="7" t="s">
        <v>56</v>
      </c>
      <c r="Z288" s="7" t="s">
        <v>40</v>
      </c>
      <c r="AF288" s="7" t="s">
        <v>41</v>
      </c>
      <c r="AG288" s="9">
        <v>41085.0</v>
      </c>
      <c r="AH288" s="9">
        <v>41085.0</v>
      </c>
    </row>
    <row r="289">
      <c r="A289" s="6" t="str">
        <f>HYPERLINK("https://archive.ph/o/kCXAs/https://web-beta.archive.org/web/20130315140312/http://clopfic.heroku.com/fics/1167", "Fluttershy - Your opportunities at a glance")</f>
        <v>Fluttershy - Your opportunities at a glance</v>
      </c>
      <c r="C289" s="7" t="s">
        <v>54</v>
      </c>
      <c r="D289" s="7" t="s">
        <v>37</v>
      </c>
      <c r="E289" s="7" t="s">
        <v>44</v>
      </c>
      <c r="F289" s="7" t="s">
        <v>52</v>
      </c>
      <c r="G289" s="7" t="s">
        <v>75</v>
      </c>
      <c r="H289" s="8" t="s">
        <v>346</v>
      </c>
      <c r="I289" s="6" t="str">
        <f>HYPERLINK("https://archive.ph/o/kCXAs/https://web-beta.archive.org/web/20130315140312/http://clopfic.heroku.com/authors/1148", "Jetsfantasy")</f>
        <v>Jetsfantasy</v>
      </c>
      <c r="J289" s="7" t="s">
        <v>39</v>
      </c>
      <c r="K289" s="7" t="s">
        <v>49</v>
      </c>
      <c r="L289" s="7" t="s">
        <v>62</v>
      </c>
      <c r="M289" s="7" t="s">
        <v>56</v>
      </c>
      <c r="N289" s="7" t="s">
        <v>47</v>
      </c>
      <c r="O289" s="7" t="s">
        <v>51</v>
      </c>
      <c r="Q289" s="7" t="s">
        <v>65</v>
      </c>
      <c r="Z289" s="7" t="s">
        <v>40</v>
      </c>
      <c r="AE289" s="7" t="s">
        <v>43</v>
      </c>
      <c r="AF289" s="7" t="s">
        <v>41</v>
      </c>
      <c r="AG289" s="9">
        <v>41069.0</v>
      </c>
      <c r="AH289" s="9">
        <v>41085.0</v>
      </c>
    </row>
    <row r="290">
      <c r="A290" s="6" t="str">
        <f>HYPERLINK("https://archive.ph/o/kCXAs/https://web-beta.archive.org/web/20130315140312/http://clopfic.heroku.com/fics/1216", "Swingerville")</f>
        <v>Swingerville</v>
      </c>
      <c r="D290" s="7" t="s">
        <v>37</v>
      </c>
      <c r="E290" s="7" t="s">
        <v>44</v>
      </c>
      <c r="H290" s="8" t="s">
        <v>347</v>
      </c>
      <c r="I290" s="6" t="str">
        <f>HYPERLINK("https://archive.ph/o/kCXAs/https://web-beta.archive.org/web/20130315140312/http://clopfic.heroku.com/authors/1133", "Bronystories")</f>
        <v>Bronystories</v>
      </c>
      <c r="AE290" s="7" t="s">
        <v>43</v>
      </c>
      <c r="AG290" s="9">
        <v>41085.0</v>
      </c>
      <c r="AH290" s="9">
        <v>41085.0</v>
      </c>
    </row>
    <row r="291">
      <c r="A291" s="6" t="str">
        <f>HYPERLINK("https://archive.ph/o/kCXAs/https://web-beta.archive.org/web/20130315140312/http://clopfic.heroku.com/fics/1211", "Twilight's picnic")</f>
        <v>Twilight's picnic</v>
      </c>
      <c r="C291" s="7" t="s">
        <v>54</v>
      </c>
      <c r="E291" s="7" t="s">
        <v>44</v>
      </c>
      <c r="H291" s="8" t="s">
        <v>348</v>
      </c>
      <c r="I291" s="6" t="str">
        <f>HYPERLINK("https://archive.ph/o/kCXAs/https://web-beta.archive.org/web/20130315140312/http://clopfic.heroku.com/authors/198", "Theorangefox")</f>
        <v>Theorangefox</v>
      </c>
      <c r="J291" s="7" t="s">
        <v>39</v>
      </c>
      <c r="AG291" s="9">
        <v>41084.0</v>
      </c>
      <c r="AH291" s="9">
        <v>41084.0</v>
      </c>
    </row>
    <row r="292">
      <c r="A292" s="6" t="str">
        <f>HYPERLINK("https://archive.ph/o/kCXAs/https://web-beta.archive.org/web/20130315140312/http://clopfic.heroku.com/fics/1208", "My Shattered Heart")</f>
        <v>My Shattered Heart</v>
      </c>
      <c r="C292" s="7" t="s">
        <v>54</v>
      </c>
      <c r="E292" s="7" t="s">
        <v>44</v>
      </c>
      <c r="H292" s="8" t="s">
        <v>349</v>
      </c>
      <c r="I292" s="6" t="str">
        <f>HYPERLINK("https://archive.ph/o/kCXAs/https://web-beta.archive.org/web/20130315140312/http://clopfic.heroku.com/authors/1130", "Guitarkid71")</f>
        <v>Guitarkid71</v>
      </c>
      <c r="J292" s="7" t="s">
        <v>39</v>
      </c>
      <c r="L292" s="7" t="s">
        <v>62</v>
      </c>
      <c r="N292" s="7" t="s">
        <v>47</v>
      </c>
      <c r="O292" s="7" t="s">
        <v>51</v>
      </c>
      <c r="P292" s="7" t="s">
        <v>64</v>
      </c>
      <c r="S292" s="7" t="s">
        <v>68</v>
      </c>
      <c r="U292" s="7" t="s">
        <v>60</v>
      </c>
      <c r="V292" s="7" t="s">
        <v>71</v>
      </c>
      <c r="Y292" s="7" t="s">
        <v>184</v>
      </c>
      <c r="Z292" s="7" t="s">
        <v>40</v>
      </c>
      <c r="AA292" s="7" t="s">
        <v>113</v>
      </c>
      <c r="AB292" s="7" t="s">
        <v>101</v>
      </c>
      <c r="AC292" s="7" t="s">
        <v>102</v>
      </c>
      <c r="AD292" s="7" t="s">
        <v>111</v>
      </c>
      <c r="AG292" s="9">
        <v>41084.0</v>
      </c>
      <c r="AH292" s="9">
        <v>41084.0</v>
      </c>
    </row>
    <row r="293">
      <c r="A293" s="6" t="str">
        <f>HYPERLINK("https://archive.ph/o/kCXAs/https://web-beta.archive.org/web/20130315140312/http://clopfic.heroku.com/fics/1206", "Two in the Pinkie, One in the Stinky.")</f>
        <v>Two in the Pinkie, One in the Stinky.</v>
      </c>
      <c r="E293" s="7" t="s">
        <v>44</v>
      </c>
      <c r="F293" s="7" t="s">
        <v>52</v>
      </c>
      <c r="H293" s="8" t="s">
        <v>350</v>
      </c>
      <c r="I293" s="6" t="str">
        <f>HYPERLINK("https://archive.ph/o/kCXAs/https://web-beta.archive.org/web/20130315140312/http://clopfic.heroku.com/authors/1127", "CaptainSalmon54")</f>
        <v>CaptainSalmon54</v>
      </c>
      <c r="K293" s="7" t="s">
        <v>49</v>
      </c>
      <c r="AG293" s="9">
        <v>41083.0</v>
      </c>
      <c r="AH293" s="9">
        <v>41083.0</v>
      </c>
    </row>
    <row r="294">
      <c r="A294" s="6" t="str">
        <f>HYPERLINK("https://archive.ph/o/kCXAs/https://web-beta.archive.org/web/20130315140312/http://clopfic.heroku.com/fics/1138", "Melody of the Night")</f>
        <v>Melody of the Night</v>
      </c>
      <c r="E294" s="7" t="s">
        <v>44</v>
      </c>
      <c r="F294" s="7" t="s">
        <v>52</v>
      </c>
      <c r="H294" s="8" t="s">
        <v>351</v>
      </c>
      <c r="I294" s="6" t="str">
        <f>HYPERLINK("https://archive.ph/o/kCXAs/https://web-beta.archive.org/web/20130315140312/http://clopfic.heroku.com/authors/861", "DoctorSerious")</f>
        <v>DoctorSerious</v>
      </c>
      <c r="R294" s="7" t="s">
        <v>66</v>
      </c>
      <c r="Z294" s="7" t="s">
        <v>40</v>
      </c>
      <c r="AF294" s="7" t="s">
        <v>41</v>
      </c>
      <c r="AG294" s="9">
        <v>41061.0</v>
      </c>
      <c r="AH294" s="9">
        <v>41083.0</v>
      </c>
    </row>
    <row r="295">
      <c r="A295" s="6" t="str">
        <f>HYPERLINK("https://archive.ph/o/kCXAs/https://web-beta.archive.org/web/20130315140312/http://clopfic.heroku.com/fics/1202", "Smarty Pants and Big Macintosh Have a Tea Party ")</f>
        <v>Smarty Pants and Big Macintosh Have a Tea Party </v>
      </c>
      <c r="D295" s="7" t="s">
        <v>37</v>
      </c>
      <c r="E295" s="7" t="s">
        <v>44</v>
      </c>
      <c r="H295" s="8" t="s">
        <v>352</v>
      </c>
      <c r="I295" s="6" t="str">
        <f>HYPERLINK("https://archive.ph/o/kCXAs/https://web-beta.archive.org/web/20130315140312/http://clopfic.heroku.com/authors/1121", "Amit")</f>
        <v>Amit</v>
      </c>
      <c r="V295" s="7" t="s">
        <v>71</v>
      </c>
      <c r="Z295" s="7" t="s">
        <v>40</v>
      </c>
      <c r="AF295" s="7" t="s">
        <v>41</v>
      </c>
      <c r="AG295" s="9">
        <v>41082.0</v>
      </c>
      <c r="AH295" s="9">
        <v>41082.0</v>
      </c>
    </row>
    <row r="296">
      <c r="A296" s="6" t="str">
        <f>HYPERLINK("https://archive.ph/o/kCXAs/https://web-beta.archive.org/web/20130315140312/http://clopfic.heroku.com/fics/1199", "A Very Generous Virgin")</f>
        <v>A Very Generous Virgin</v>
      </c>
      <c r="E296" s="7" t="s">
        <v>44</v>
      </c>
      <c r="H296" s="8" t="s">
        <v>353</v>
      </c>
      <c r="I296" s="6" t="str">
        <f>HYPERLINK("https://archive.ph/o/kCXAs/https://web-beta.archive.org/web/20130315140312/http://clopfic.heroku.com/authors/553", "ImJustAnotherBrony")</f>
        <v>ImJustAnotherBrony</v>
      </c>
      <c r="J296" s="7" t="s">
        <v>39</v>
      </c>
      <c r="K296" s="7" t="s">
        <v>49</v>
      </c>
      <c r="M296" s="7" t="s">
        <v>56</v>
      </c>
      <c r="AG296" s="9">
        <v>41081.0</v>
      </c>
      <c r="AH296" s="9">
        <v>41081.0</v>
      </c>
    </row>
    <row r="297">
      <c r="A297" s="6" t="str">
        <f>HYPERLINK("https://archive.ph/o/kCXAs/https://web-beta.archive.org/web/20130315140312/http://clopfic.heroku.com/fics/1198", "Rarity's Garden")</f>
        <v>Rarity's Garden</v>
      </c>
      <c r="B297" s="7" t="s">
        <v>36</v>
      </c>
      <c r="H297" s="8" t="s">
        <v>354</v>
      </c>
      <c r="I297" s="6" t="str">
        <f>HYPERLINK("https://archive.ph/o/kCXAs/https://web-beta.archive.org/web/20130315140312/http://clopfic.heroku.com/authors/1101", "HamGravy")</f>
        <v>HamGravy</v>
      </c>
      <c r="N297" s="7" t="s">
        <v>47</v>
      </c>
      <c r="Z297" s="7" t="s">
        <v>40</v>
      </c>
      <c r="AF297" s="7" t="s">
        <v>41</v>
      </c>
      <c r="AG297" s="9">
        <v>41080.0</v>
      </c>
      <c r="AH297" s="9">
        <v>41080.0</v>
      </c>
    </row>
    <row r="298">
      <c r="A298" s="6" t="str">
        <f>HYPERLINK("https://archive.ph/o/kCXAs/https://web-beta.archive.org/web/20130315140312/http://clopfic.heroku.com/fics/1197", "The Worst Clopfic Ever")</f>
        <v>The Worst Clopfic Ever</v>
      </c>
      <c r="H298" s="8" t="s">
        <v>355</v>
      </c>
      <c r="I298" s="6" t="str">
        <f>HYPERLINK("https://archive.ph/o/kCXAs/https://web-beta.archive.org/web/20130315140312/http://clopfic.heroku.com/fics", "/fics")</f>
        <v>/fics</v>
      </c>
      <c r="K298" s="7" t="s">
        <v>49</v>
      </c>
      <c r="M298" s="7" t="s">
        <v>56</v>
      </c>
      <c r="N298" s="7" t="s">
        <v>47</v>
      </c>
      <c r="O298" s="7" t="s">
        <v>51</v>
      </c>
      <c r="AG298" s="9">
        <v>41080.0</v>
      </c>
      <c r="AH298" s="9">
        <v>41080.0</v>
      </c>
    </row>
    <row r="299">
      <c r="A299" s="6" t="str">
        <f>HYPERLINK("https://archive.ph/o/kCXAs/https://web-beta.archive.org/web/20130315140312/http://clopfic.heroku.com/fics/1196", "The Colors We All Share")</f>
        <v>The Colors We All Share</v>
      </c>
      <c r="D299" s="7" t="s">
        <v>37</v>
      </c>
      <c r="E299" s="7" t="s">
        <v>44</v>
      </c>
      <c r="F299" s="7" t="s">
        <v>52</v>
      </c>
      <c r="H299" s="8" t="s">
        <v>356</v>
      </c>
      <c r="I299" s="6" t="str">
        <f>HYPERLINK("https://archive.ph/o/kCXAs/https://web-beta.archive.org/web/20130315140312/http://clopfic.heroku.com/authors/1112", "Cadet Prewitt")</f>
        <v>Cadet Prewitt</v>
      </c>
      <c r="J299" s="7" t="s">
        <v>39</v>
      </c>
      <c r="K299" s="7" t="s">
        <v>49</v>
      </c>
      <c r="L299" s="7" t="s">
        <v>62</v>
      </c>
      <c r="M299" s="7" t="s">
        <v>56</v>
      </c>
      <c r="N299" s="7" t="s">
        <v>47</v>
      </c>
      <c r="O299" s="7" t="s">
        <v>51</v>
      </c>
      <c r="W299" s="7" t="s">
        <v>69</v>
      </c>
      <c r="AG299" s="9">
        <v>41080.0</v>
      </c>
      <c r="AH299" s="9">
        <v>41080.0</v>
      </c>
    </row>
    <row r="300">
      <c r="A300" s="6" t="str">
        <f>HYPERLINK("https://archive.ph/o/kCXAs/https://web-beta.archive.org/web/20130315140312/http://clopfic.heroku.com/fics/1195", "The Sleepover 2.0")</f>
        <v>The Sleepover 2.0</v>
      </c>
      <c r="D300" s="7" t="s">
        <v>37</v>
      </c>
      <c r="E300" s="7" t="s">
        <v>44</v>
      </c>
      <c r="H300" s="8" t="s">
        <v>357</v>
      </c>
      <c r="I300" s="6" t="str">
        <f>HYPERLINK("https://archive.ph/o/kCXAs/https://web-beta.archive.org/web/20130315140312/http://clopfic.heroku.com/authors/760", "Twilightclopple")</f>
        <v>Twilightclopple</v>
      </c>
      <c r="J300" s="7" t="s">
        <v>39</v>
      </c>
      <c r="K300" s="7" t="s">
        <v>49</v>
      </c>
      <c r="L300" s="7" t="s">
        <v>62</v>
      </c>
      <c r="M300" s="7" t="s">
        <v>56</v>
      </c>
      <c r="N300" s="7" t="s">
        <v>47</v>
      </c>
      <c r="O300" s="7" t="s">
        <v>51</v>
      </c>
      <c r="AG300" s="9">
        <v>41079.0</v>
      </c>
      <c r="AH300" s="9">
        <v>41079.0</v>
      </c>
    </row>
    <row r="301">
      <c r="A301" s="6" t="str">
        <f>HYPERLINK("https://archive.ph/o/kCXAs/https://web-beta.archive.org/web/20130315140312/http://clopfic.heroku.com/fics/1194", "A Treasure among Treasures")</f>
        <v>A Treasure among Treasures</v>
      </c>
      <c r="C301" s="7" t="s">
        <v>54</v>
      </c>
      <c r="E301" s="7" t="s">
        <v>44</v>
      </c>
      <c r="H301" s="8" t="s">
        <v>358</v>
      </c>
      <c r="I301" s="6" t="str">
        <f>HYPERLINK("https://archive.ph/o/kCXAs/https://web-beta.archive.org/web/20130315140312/http://clopfic.heroku.com/authors/280", "BDNFatlus")</f>
        <v>BDNFatlus</v>
      </c>
      <c r="N301" s="7" t="s">
        <v>47</v>
      </c>
      <c r="AG301" s="9">
        <v>41079.0</v>
      </c>
      <c r="AH301" s="9">
        <v>41079.0</v>
      </c>
    </row>
    <row r="302">
      <c r="A302" s="6" t="str">
        <f>HYPERLINK("https://archive.ph/o/kCXAs/https://web-beta.archive.org/web/20130315140312/http://clopfic.heroku.com/fics/774", "Just My Type (UPDATE CHAPTER 2)")</f>
        <v>Just My Type (UPDATE CHAPTER 2)</v>
      </c>
      <c r="E302" s="7" t="s">
        <v>44</v>
      </c>
      <c r="F302" s="7" t="s">
        <v>52</v>
      </c>
      <c r="H302" s="8" t="s">
        <v>359</v>
      </c>
      <c r="I302" s="6" t="str">
        <f>HYPERLINK("https://archive.ph/o/kCXAs/https://web-beta.archive.org/web/20130315140312/http://clopfic.heroku.com/authors/81", "Co/smonaut petro/v/")</f>
        <v>Co/smonaut petro/v/</v>
      </c>
      <c r="J302" s="7" t="s">
        <v>39</v>
      </c>
      <c r="K302" s="7" t="s">
        <v>49</v>
      </c>
      <c r="M302" s="7" t="s">
        <v>56</v>
      </c>
      <c r="AG302" s="9">
        <v>40942.0</v>
      </c>
      <c r="AH302" s="9">
        <v>41078.0</v>
      </c>
    </row>
    <row r="303">
      <c r="A303" s="6" t="str">
        <f>HYPERLINK("https://archive.ph/o/kCXAs/https://web-beta.archive.org/web/20130315140312/http://clopfic.heroku.com/fics/1193", "Muffin Time with Derpy Hooves!")</f>
        <v>Muffin Time with Derpy Hooves!</v>
      </c>
      <c r="E303" s="7" t="s">
        <v>44</v>
      </c>
      <c r="H303" s="8" t="s">
        <v>360</v>
      </c>
      <c r="I303" s="6" t="str">
        <f>HYPERLINK("https://archive.ph/o/kCXAs/https://web-beta.archive.org/web/20130315140312/http://clopfic.heroku.com/authors/1062", "DragonLS")</f>
        <v>DragonLS</v>
      </c>
      <c r="Z303" s="7" t="s">
        <v>40</v>
      </c>
      <c r="AA303" s="7" t="s">
        <v>113</v>
      </c>
      <c r="AG303" s="9">
        <v>41078.0</v>
      </c>
      <c r="AH303" s="9">
        <v>41078.0</v>
      </c>
    </row>
    <row r="304">
      <c r="A304" s="6" t="str">
        <f>HYPERLINK("https://archive.ph/o/kCXAs/https://web-beta.archive.org/web/20130315140312/http://clopfic.heroku.com/fics/1191", "Silver Spoon's Mark")</f>
        <v>Silver Spoon's Mark</v>
      </c>
      <c r="B304" s="7" t="s">
        <v>36</v>
      </c>
      <c r="H304" s="8" t="s">
        <v>361</v>
      </c>
      <c r="I304" s="6" t="str">
        <f>HYPERLINK("https://archive.ph/o/kCXAs/https://web-beta.archive.org/web/20130315140312/http://clopfic.heroku.com/authors/1101", "HamGravy")</f>
        <v>HamGravy</v>
      </c>
      <c r="N304" s="7" t="s">
        <v>47</v>
      </c>
      <c r="U304" s="7" t="s">
        <v>60</v>
      </c>
      <c r="Z304" s="7" t="s">
        <v>40</v>
      </c>
      <c r="AF304" s="7" t="s">
        <v>41</v>
      </c>
      <c r="AG304" s="9">
        <v>41078.0</v>
      </c>
      <c r="AH304" s="9">
        <v>41078.0</v>
      </c>
    </row>
    <row r="305">
      <c r="A305" s="6" t="str">
        <f>HYPERLINK("https://archive.ph/o/kCXAs/https://web-beta.archive.org/web/20130315140312/http://clopfic.heroku.com/fics/1148", "Nuptials")</f>
        <v>Nuptials</v>
      </c>
      <c r="B305" s="7" t="s">
        <v>36</v>
      </c>
      <c r="E305" s="7" t="s">
        <v>44</v>
      </c>
      <c r="H305" s="8" t="s">
        <v>362</v>
      </c>
      <c r="I305" s="6" t="str">
        <f>HYPERLINK("https://archive.ph/o/kCXAs/https://web-beta.archive.org/web/20130315140312/http://clopfic.heroku.com/authors/778", "BradMayFan")</f>
        <v>BradMayFan</v>
      </c>
      <c r="J305" s="7" t="s">
        <v>39</v>
      </c>
      <c r="P305" s="7" t="s">
        <v>64</v>
      </c>
      <c r="Q305" s="7" t="s">
        <v>65</v>
      </c>
      <c r="Z305" s="7" t="s">
        <v>40</v>
      </c>
      <c r="AF305" s="7" t="s">
        <v>41</v>
      </c>
      <c r="AG305" s="9">
        <v>41064.0</v>
      </c>
      <c r="AH305" s="9">
        <v>41078.0</v>
      </c>
    </row>
    <row r="306">
      <c r="A306" s="6" t="str">
        <f>HYPERLINK("https://archive.ph/o/kCXAs/https://web-beta.archive.org/web/20130315140312/http://clopfic.heroku.com/fics/1183", "Tarnished Silver")</f>
        <v>Tarnished Silver</v>
      </c>
      <c r="B306" s="7" t="s">
        <v>36</v>
      </c>
      <c r="H306" s="8" t="s">
        <v>363</v>
      </c>
      <c r="I306" s="6" t="str">
        <f>HYPERLINK("https://archive.ph/o/kCXAs/https://web-beta.archive.org/web/20130315140312/http://clopfic.heroku.com/authors/1101", "HamGravy")</f>
        <v>HamGravy</v>
      </c>
      <c r="N306" s="7" t="s">
        <v>47</v>
      </c>
      <c r="U306" s="7" t="s">
        <v>60</v>
      </c>
      <c r="Z306" s="7" t="s">
        <v>40</v>
      </c>
      <c r="AE306" s="7" t="s">
        <v>43</v>
      </c>
      <c r="AF306" s="7" t="s">
        <v>41</v>
      </c>
      <c r="AG306" s="9">
        <v>41077.0</v>
      </c>
      <c r="AH306" s="9">
        <v>41077.0</v>
      </c>
    </row>
    <row r="307">
      <c r="A307" s="6" t="str">
        <f>HYPERLINK("https://archive.ph/o/kCXAs/https://web-beta.archive.org/web/20130315140312/http://clopfic.heroku.com/fics/1190", "princess and a time lord")</f>
        <v>princess and a time lord</v>
      </c>
      <c r="E307" s="7" t="s">
        <v>44</v>
      </c>
      <c r="H307" s="8" t="s">
        <v>364</v>
      </c>
      <c r="I307" s="6" t="str">
        <f>HYPERLINK("https://archive.ph/o/kCXAs/https://web-beta.archive.org/web/20130315140312/http://clopfic.heroku.com/authors/1103", "shynoise")</f>
        <v>shynoise</v>
      </c>
      <c r="Q307" s="7" t="s">
        <v>65</v>
      </c>
      <c r="Z307" s="7" t="s">
        <v>40</v>
      </c>
      <c r="AE307" s="7" t="s">
        <v>43</v>
      </c>
      <c r="AG307" s="9">
        <v>41077.0</v>
      </c>
      <c r="AH307" s="9">
        <v>41077.0</v>
      </c>
    </row>
    <row r="308">
      <c r="A308" s="6" t="str">
        <f>HYPERLINK("https://archive.ph/o/kCXAs/https://web-beta.archive.org/web/20130315140312/http://clopfic.heroku.com/fics/1129", "Rude Awakening")</f>
        <v>Rude Awakening</v>
      </c>
      <c r="C308" s="7" t="s">
        <v>54</v>
      </c>
      <c r="F308" s="7" t="s">
        <v>52</v>
      </c>
      <c r="G308" s="7" t="s">
        <v>75</v>
      </c>
      <c r="H308" s="8" t="s">
        <v>365</v>
      </c>
      <c r="I308" s="6" t="str">
        <f>HYPERLINK("https://archive.ph/o/kCXAs/https://web-beta.archive.org/web/20130315140312/http://clopfic.heroku.com/authors/656", "ponyaddict")</f>
        <v>ponyaddict</v>
      </c>
      <c r="J308" s="7" t="s">
        <v>39</v>
      </c>
      <c r="K308" s="7" t="s">
        <v>49</v>
      </c>
      <c r="L308" s="7" t="s">
        <v>62</v>
      </c>
      <c r="M308" s="7" t="s">
        <v>56</v>
      </c>
      <c r="N308" s="7" t="s">
        <v>47</v>
      </c>
      <c r="O308" s="7" t="s">
        <v>51</v>
      </c>
      <c r="Z308" s="7" t="s">
        <v>40</v>
      </c>
      <c r="AF308" s="7" t="s">
        <v>41</v>
      </c>
      <c r="AG308" s="9">
        <v>41059.0</v>
      </c>
      <c r="AH308" s="9">
        <v>41077.0</v>
      </c>
    </row>
    <row r="309">
      <c r="A309" s="6" t="str">
        <f>HYPERLINK("https://archive.ph/o/kCXAs/https://web-beta.archive.org/web/20130315140312/http://clopfic.heroku.com/fics/489", "The Equestrian Renaissance")</f>
        <v>The Equestrian Renaissance</v>
      </c>
      <c r="B309" s="7" t="s">
        <v>36</v>
      </c>
      <c r="C309" s="7" t="s">
        <v>54</v>
      </c>
      <c r="D309" s="7" t="s">
        <v>37</v>
      </c>
      <c r="E309" s="7" t="s">
        <v>44</v>
      </c>
      <c r="F309" s="7" t="s">
        <v>52</v>
      </c>
      <c r="G309" s="7" t="s">
        <v>75</v>
      </c>
      <c r="H309" s="8" t="s">
        <v>366</v>
      </c>
      <c r="I309" s="6" t="str">
        <f>HYPERLINK("https://archive.ph/o/kCXAs/https://web-beta.archive.org/web/20130315140312/http://clopfic.heroku.com/authors/1", "RagingSemi")</f>
        <v>RagingSemi</v>
      </c>
      <c r="J309" s="7" t="s">
        <v>39</v>
      </c>
      <c r="K309" s="7" t="s">
        <v>49</v>
      </c>
      <c r="M309" s="7" t="s">
        <v>56</v>
      </c>
      <c r="N309" s="7" t="s">
        <v>47</v>
      </c>
      <c r="P309" s="7" t="s">
        <v>64</v>
      </c>
      <c r="Q309" s="7" t="s">
        <v>65</v>
      </c>
      <c r="V309" s="7" t="s">
        <v>71</v>
      </c>
      <c r="X309" s="7" t="s">
        <v>107</v>
      </c>
      <c r="Y309" s="7" t="s">
        <v>184</v>
      </c>
      <c r="Z309" s="7" t="s">
        <v>40</v>
      </c>
      <c r="AE309" s="7" t="s">
        <v>43</v>
      </c>
      <c r="AG309" s="9">
        <v>40806.0</v>
      </c>
      <c r="AH309" s="9">
        <v>41077.0</v>
      </c>
    </row>
    <row r="310">
      <c r="A310" s="6" t="str">
        <f>HYPERLINK("https://archive.ph/o/kCXAs/https://web-beta.archive.org/web/20130315140312/http://clopfic.heroku.com/fics/1181", "A Rendered Identity")</f>
        <v>A Rendered Identity</v>
      </c>
      <c r="E310" s="7" t="s">
        <v>44</v>
      </c>
      <c r="F310" s="7" t="s">
        <v>52</v>
      </c>
      <c r="H310" s="8" t="s">
        <v>367</v>
      </c>
      <c r="I310" s="6" t="str">
        <f>HYPERLINK("https://archive.ph/o/kCXAs/https://web-beta.archive.org/web/20130315140312/http://clopfic.heroku.com/authors/1093", "jura~")</f>
        <v>jura~</v>
      </c>
      <c r="Z310" s="7" t="s">
        <v>40</v>
      </c>
      <c r="AE310" s="7" t="s">
        <v>43</v>
      </c>
      <c r="AG310" s="9">
        <v>41075.0</v>
      </c>
      <c r="AH310" s="9">
        <v>41077.0</v>
      </c>
    </row>
    <row r="311">
      <c r="A311" s="6" t="str">
        <f>HYPERLINK("https://archive.ph/o/kCXAs/https://web-beta.archive.org/web/20130315140312/http://clopfic.heroku.com/fics/1178", "Four of Two")</f>
        <v>Four of Two</v>
      </c>
      <c r="D311" s="7" t="s">
        <v>37</v>
      </c>
      <c r="E311" s="7" t="s">
        <v>44</v>
      </c>
      <c r="F311" s="7" t="s">
        <v>52</v>
      </c>
      <c r="G311" s="7" t="s">
        <v>75</v>
      </c>
      <c r="H311" s="8" t="s">
        <v>368</v>
      </c>
      <c r="I311" s="6" t="str">
        <f>HYPERLINK("https://archive.ph/o/kCXAs/https://web-beta.archive.org/web/20130315140312/http://clopfic.heroku.com/authors/1069", "Ariamaki")</f>
        <v>Ariamaki</v>
      </c>
      <c r="J311" s="7" t="s">
        <v>39</v>
      </c>
      <c r="O311" s="7" t="s">
        <v>51</v>
      </c>
      <c r="P311" s="7" t="s">
        <v>64</v>
      </c>
      <c r="Q311" s="7" t="s">
        <v>65</v>
      </c>
      <c r="AG311" s="9">
        <v>41074.0</v>
      </c>
      <c r="AH311" s="9">
        <v>41074.0</v>
      </c>
    </row>
    <row r="312">
      <c r="A312" s="6" t="str">
        <f>HYPERLINK("https://archive.ph/o/kCXAs/https://web-beta.archive.org/web/20130315140312/http://clopfic.heroku.com/fics/1177", "Purely Scientific Interest")</f>
        <v>Purely Scientific Interest</v>
      </c>
      <c r="E312" s="7" t="s">
        <v>44</v>
      </c>
      <c r="H312" s="8" t="s">
        <v>369</v>
      </c>
      <c r="I312" s="6" t="str">
        <f>HYPERLINK("https://archive.ph/o/kCXAs/https://web-beta.archive.org/web/20130315140312/http://clopfic.heroku.com/authors/1066", "CarcinoGeneticist")</f>
        <v>CarcinoGeneticist</v>
      </c>
      <c r="J312" s="7" t="s">
        <v>39</v>
      </c>
      <c r="N312" s="7" t="s">
        <v>47</v>
      </c>
      <c r="R312" s="7" t="s">
        <v>66</v>
      </c>
      <c r="AG312" s="9">
        <v>41074.0</v>
      </c>
      <c r="AH312" s="9">
        <v>41074.0</v>
      </c>
    </row>
    <row r="313">
      <c r="A313" s="6" t="str">
        <f>HYPERLINK("https://archive.ph/o/kCXAs/https://web-beta.archive.org/web/20130315140312/http://clopfic.heroku.com/fics/1176", "Candy Time with Pinkie!")</f>
        <v>Candy Time with Pinkie!</v>
      </c>
      <c r="E313" s="7" t="s">
        <v>44</v>
      </c>
      <c r="H313" s="8" t="s">
        <v>370</v>
      </c>
      <c r="I313" s="6" t="str">
        <f>HYPERLINK("https://archive.ph/o/kCXAs/https://web-beta.archive.org/web/20130315140312/http://clopfic.heroku.com/authors/1062", "DragonLS")</f>
        <v>DragonLS</v>
      </c>
      <c r="K313" s="7" t="s">
        <v>49</v>
      </c>
      <c r="AG313" s="9">
        <v>41073.0</v>
      </c>
      <c r="AH313" s="9">
        <v>41073.0</v>
      </c>
    </row>
    <row r="314">
      <c r="A314" s="6" t="str">
        <f>HYPERLINK("https://archive.ph/o/kCXAs/https://web-beta.archive.org/web/20130315140312/http://clopfic.heroku.com/fics/1175", "A Week in Ponyville")</f>
        <v>A Week in Ponyville</v>
      </c>
      <c r="C314" s="7" t="s">
        <v>54</v>
      </c>
      <c r="E314" s="7" t="s">
        <v>44</v>
      </c>
      <c r="F314" s="7" t="s">
        <v>52</v>
      </c>
      <c r="H314" s="8" t="s">
        <v>371</v>
      </c>
      <c r="I314" s="6" t="str">
        <f>HYPERLINK("https://archive.ph/o/kCXAs/https://web-beta.archive.org/web/20130315140312/http://clopfic.heroku.com/authors/1061", "EXOLIEF")</f>
        <v>EXOLIEF</v>
      </c>
      <c r="J314" s="7" t="s">
        <v>39</v>
      </c>
      <c r="K314" s="7" t="s">
        <v>49</v>
      </c>
      <c r="L314" s="7" t="s">
        <v>62</v>
      </c>
      <c r="M314" s="7" t="s">
        <v>56</v>
      </c>
      <c r="N314" s="7" t="s">
        <v>47</v>
      </c>
      <c r="O314" s="7" t="s">
        <v>51</v>
      </c>
      <c r="P314" s="7" t="s">
        <v>64</v>
      </c>
      <c r="Q314" s="7" t="s">
        <v>65</v>
      </c>
      <c r="R314" s="7" t="s">
        <v>66</v>
      </c>
      <c r="Z314" s="7" t="s">
        <v>40</v>
      </c>
      <c r="AA314" s="7" t="s">
        <v>113</v>
      </c>
      <c r="AG314" s="9">
        <v>41073.0</v>
      </c>
      <c r="AH314" s="9">
        <v>41073.0</v>
      </c>
    </row>
    <row r="315">
      <c r="A315" s="6" t="str">
        <f>HYPERLINK("https://archive.ph/o/kCXAs/https://web-beta.archive.org/web/20130315140312/http://clopfic.heroku.com/fics/659", "Heat and Desire")</f>
        <v>Heat and Desire</v>
      </c>
      <c r="B315" s="7" t="s">
        <v>36</v>
      </c>
      <c r="C315" s="7" t="s">
        <v>54</v>
      </c>
      <c r="E315" s="7" t="s">
        <v>44</v>
      </c>
      <c r="F315" s="7" t="s">
        <v>52</v>
      </c>
      <c r="H315" s="8" t="s">
        <v>372</v>
      </c>
      <c r="I315" s="6" t="str">
        <f>HYPERLINK("https://archive.ph/o/kCXAs/https://web-beta.archive.org/web/20130315140312/http://clopfic.heroku.com/authors/548", "Brony Incognito")</f>
        <v>Brony Incognito</v>
      </c>
      <c r="P315" s="7" t="s">
        <v>64</v>
      </c>
      <c r="Q315" s="7" t="s">
        <v>65</v>
      </c>
      <c r="V315" s="7" t="s">
        <v>71</v>
      </c>
      <c r="W315" s="7" t="s">
        <v>69</v>
      </c>
      <c r="Z315" s="7" t="s">
        <v>40</v>
      </c>
      <c r="AB315" s="7" t="s">
        <v>101</v>
      </c>
      <c r="AC315" s="7" t="s">
        <v>102</v>
      </c>
      <c r="AE315" s="7" t="s">
        <v>43</v>
      </c>
      <c r="AF315" s="7" t="s">
        <v>41</v>
      </c>
      <c r="AG315" s="9">
        <v>40907.0</v>
      </c>
      <c r="AH315" s="9">
        <v>41071.0</v>
      </c>
    </row>
    <row r="316">
      <c r="A316" s="6" t="str">
        <f>HYPERLINK("https://archive.ph/o/kCXAs/https://web-beta.archive.org/web/20130315140312/http://clopfic.heroku.com/fics/1172", "Robotricks")</f>
        <v>Robotricks</v>
      </c>
      <c r="H316" s="8" t="s">
        <v>373</v>
      </c>
      <c r="I316" s="6" t="str">
        <f>HYPERLINK("https://archive.ph/o/kCXAs/https://web-beta.archive.org/web/20130315140312/http://clopfic.heroku.com/authors/763", "Rushalike")</f>
        <v>Rushalike</v>
      </c>
      <c r="AE316" s="7" t="s">
        <v>43</v>
      </c>
      <c r="AF316" s="7" t="s">
        <v>41</v>
      </c>
      <c r="AG316" s="9">
        <v>41071.0</v>
      </c>
      <c r="AH316" s="9">
        <v>41071.0</v>
      </c>
    </row>
    <row r="317">
      <c r="A317" s="6" t="str">
        <f>HYPERLINK("https://archive.ph/o/kCXAs/https://web-beta.archive.org/web/20130315140312/http://clopfic.heroku.com/fics/1171", "Blitzing the Field")</f>
        <v>Blitzing the Field</v>
      </c>
      <c r="H317" s="8" t="s">
        <v>374</v>
      </c>
      <c r="I317" s="6" t="str">
        <f>HYPERLINK("https://archive.ph/o/kCXAs/https://web-beta.archive.org/web/20130315140312/http://clopfic.heroku.com/authors/1050", "Inkwell, Sugar Plum")</f>
        <v>Inkwell, Sugar Plum</v>
      </c>
      <c r="K317" s="7" t="s">
        <v>49</v>
      </c>
      <c r="M317" s="7" t="s">
        <v>56</v>
      </c>
      <c r="AG317" s="9">
        <v>41071.0</v>
      </c>
      <c r="AH317" s="9">
        <v>41071.0</v>
      </c>
    </row>
    <row r="318">
      <c r="A318" s="6" t="str">
        <f>HYPERLINK("https://archive.ph/o/kCXAs/https://web-beta.archive.org/web/20130315140312/http://clopfic.heroku.com/fics/1170", "The Odd Couple")</f>
        <v>The Odd Couple</v>
      </c>
      <c r="D318" s="7" t="s">
        <v>37</v>
      </c>
      <c r="E318" s="7" t="s">
        <v>44</v>
      </c>
      <c r="H318" s="8" t="s">
        <v>375</v>
      </c>
      <c r="I318" s="6" t="str">
        <f>HYPERLINK("https://archive.ph/o/kCXAs/https://web-beta.archive.org/web/20130315140312/http://clopfic.heroku.com/authors/1048", "Dark Link 313")</f>
        <v>Dark Link 313</v>
      </c>
      <c r="AF318" s="7" t="s">
        <v>41</v>
      </c>
      <c r="AG318" s="9">
        <v>41070.0</v>
      </c>
      <c r="AH318" s="9">
        <v>41070.0</v>
      </c>
    </row>
    <row r="319">
      <c r="A319" s="6" t="str">
        <f>HYPERLINK("https://archive.ph/o/kCXAs/https://web-beta.archive.org/web/20130315140312/http://clopfic.heroku.com/fics/1169", "Unschuldslamm")</f>
        <v>Unschuldslamm</v>
      </c>
      <c r="B319" s="7" t="s">
        <v>36</v>
      </c>
      <c r="H319" s="8" t="s">
        <v>376</v>
      </c>
      <c r="I319" s="6" t="str">
        <f>HYPERLINK("https://archive.ph/o/kCXAs/https://web-beta.archive.org/web/20130315140312/http://clopfic.heroku.com/authors/1052", "Armisael")</f>
        <v>Armisael</v>
      </c>
      <c r="L319" s="7" t="s">
        <v>62</v>
      </c>
      <c r="R319" s="7" t="s">
        <v>66</v>
      </c>
      <c r="AG319" s="9">
        <v>41069.0</v>
      </c>
      <c r="AH319" s="9">
        <v>41069.0</v>
      </c>
    </row>
    <row r="320">
      <c r="A320" s="6" t="str">
        <f>HYPERLINK("https://archive.ph/o/kCXAs/https://web-beta.archive.org/web/20130315140312/http://clopfic.heroku.com/fics/1168", "Cougar cake")</f>
        <v>Cougar cake</v>
      </c>
      <c r="E320" s="7" t="s">
        <v>44</v>
      </c>
      <c r="H320" s="8" t="s">
        <v>377</v>
      </c>
      <c r="I320" s="6" t="str">
        <f>HYPERLINK("https://archive.ph/o/kCXAs/https://web-beta.archive.org/web/20130315140312/http://clopfic.heroku.com/authors/198", "Theorangefox")</f>
        <v>Theorangefox</v>
      </c>
      <c r="Z320" s="7" t="s">
        <v>40</v>
      </c>
      <c r="AE320" s="7" t="s">
        <v>43</v>
      </c>
      <c r="AF320" s="7" t="s">
        <v>41</v>
      </c>
      <c r="AG320" s="9">
        <v>41069.0</v>
      </c>
      <c r="AH320" s="9">
        <v>41069.0</v>
      </c>
    </row>
    <row r="321">
      <c r="A321" s="6" t="str">
        <f>HYPERLINK("https://archive.ph/o/kCXAs/https://web-beta.archive.org/web/20130315140312/http://clopfic.heroku.com/fics/1166", "Pink and Purple")</f>
        <v>Pink and Purple</v>
      </c>
      <c r="C321" s="7" t="s">
        <v>54</v>
      </c>
      <c r="D321" s="7" t="s">
        <v>37</v>
      </c>
      <c r="E321" s="7" t="s">
        <v>44</v>
      </c>
      <c r="H321" s="8" t="s">
        <v>378</v>
      </c>
      <c r="I321" s="6" t="str">
        <f>HYPERLINK("https://archive.ph/o/kCXAs/https://web-beta.archive.org/web/20130315140312/http://clopfic.heroku.com/authors/1042", "Avenged Ponyfold")</f>
        <v>Avenged Ponyfold</v>
      </c>
      <c r="J321" s="7" t="s">
        <v>39</v>
      </c>
      <c r="K321" s="7" t="s">
        <v>49</v>
      </c>
      <c r="AG321" s="9">
        <v>41068.0</v>
      </c>
      <c r="AH321" s="9">
        <v>41068.0</v>
      </c>
    </row>
    <row r="322">
      <c r="A322" s="6" t="str">
        <f>HYPERLINK("https://archive.ph/o/kCXAs/https://web-beta.archive.org/web/20130315140312/http://clopfic.heroku.com/fics/1123", "Diamond Takes it Rough")</f>
        <v>Diamond Takes it Rough</v>
      </c>
      <c r="B322" s="7" t="s">
        <v>36</v>
      </c>
      <c r="D322" s="7" t="s">
        <v>37</v>
      </c>
      <c r="H322" s="8" t="s">
        <v>379</v>
      </c>
      <c r="I322" s="6" t="str">
        <f>HYPERLINK("https://archive.ph/o/kCXAs/https://web-beta.archive.org/web/20130315140312/http://clopfic.heroku.com/authors/1558", "FairySlayer")</f>
        <v>FairySlayer</v>
      </c>
      <c r="L322" s="7" t="s">
        <v>62</v>
      </c>
      <c r="N322" s="7" t="s">
        <v>47</v>
      </c>
      <c r="V322" s="7" t="s">
        <v>71</v>
      </c>
      <c r="Z322" s="7" t="s">
        <v>40</v>
      </c>
      <c r="AE322" s="7" t="s">
        <v>43</v>
      </c>
      <c r="AG322" s="9">
        <v>41058.0</v>
      </c>
      <c r="AH322" s="9">
        <v>41067.0</v>
      </c>
    </row>
    <row r="323">
      <c r="A323" s="6" t="str">
        <f>HYPERLINK("https://archive.ph/o/kCXAs/https://web-beta.archive.org/web/20130315140312/http://clopfic.heroku.com/fics/1164", "Wine for Two")</f>
        <v>Wine for Two</v>
      </c>
      <c r="E323" s="7" t="s">
        <v>44</v>
      </c>
      <c r="F323" s="7" t="s">
        <v>52</v>
      </c>
      <c r="H323" s="8" t="s">
        <v>380</v>
      </c>
      <c r="I323" s="6" t="str">
        <f>HYPERLINK("https://archive.ph/o/kCXAs/https://web-beta.archive.org/web/20130315140312/http://clopfic.heroku.com/authors/73", "Buttersc0tchSundae")</f>
        <v>Buttersc0tchSundae</v>
      </c>
      <c r="J323" s="7" t="s">
        <v>39</v>
      </c>
      <c r="R323" s="7" t="s">
        <v>66</v>
      </c>
      <c r="AG323" s="9">
        <v>41067.0</v>
      </c>
      <c r="AH323" s="9">
        <v>41067.0</v>
      </c>
    </row>
    <row r="324">
      <c r="A324" s="6" t="str">
        <f>HYPERLINK("https://archive.ph/o/kCXAs/https://web-beta.archive.org/web/20130315140312/http://clopfic.heroku.com/fics/1163", "Leo's Tale 2")</f>
        <v>Leo's Tale 2</v>
      </c>
      <c r="D324" s="7" t="s">
        <v>37</v>
      </c>
      <c r="E324" s="7" t="s">
        <v>44</v>
      </c>
      <c r="H324" s="8" t="s">
        <v>381</v>
      </c>
      <c r="I324" s="6" t="str">
        <f>HYPERLINK("https://archive.ph/o/kCXAs/https://web-beta.archive.org/web/20130315140312/http://clopfic.heroku.com/authors/1036", "Leo Rockheart")</f>
        <v>Leo Rockheart</v>
      </c>
      <c r="J324" s="7" t="s">
        <v>39</v>
      </c>
      <c r="N324" s="7" t="s">
        <v>47</v>
      </c>
      <c r="O324" s="7" t="s">
        <v>51</v>
      </c>
      <c r="Z324" s="7" t="s">
        <v>40</v>
      </c>
      <c r="AE324" s="7" t="s">
        <v>43</v>
      </c>
      <c r="AF324" s="7" t="s">
        <v>41</v>
      </c>
      <c r="AG324" s="9">
        <v>41067.0</v>
      </c>
      <c r="AH324" s="9">
        <v>41067.0</v>
      </c>
    </row>
    <row r="325">
      <c r="A325" s="6" t="str">
        <f>HYPERLINK("https://archive.ph/o/kCXAs/https://web-beta.archive.org/web/20130315140312/http://clopfic.heroku.com/fics/1162", "Between Bakers")</f>
        <v>Between Bakers</v>
      </c>
      <c r="E325" s="7" t="s">
        <v>44</v>
      </c>
      <c r="H325" s="8" t="s">
        <v>382</v>
      </c>
      <c r="I325" s="6" t="str">
        <f>HYPERLINK("https://archive.ph/o/kCXAs/https://web-beta.archive.org/web/20130315140312/http://clopfic.heroku.com/authors/860", "JujubeLand")</f>
        <v>JujubeLand</v>
      </c>
      <c r="K325" s="7" t="s">
        <v>49</v>
      </c>
      <c r="AE325" s="7" t="s">
        <v>43</v>
      </c>
      <c r="AG325" s="9">
        <v>41066.0</v>
      </c>
      <c r="AH325" s="9">
        <v>41066.0</v>
      </c>
    </row>
    <row r="326">
      <c r="A326" s="6" t="str">
        <f>HYPERLINK("https://archive.ph/o/kCXAs/https://web-beta.archive.org/web/20130315140312/http://clopfic.heroku.com/fics/518", "The Dragon in Twilight")</f>
        <v>The Dragon in Twilight</v>
      </c>
      <c r="E326" s="7" t="s">
        <v>44</v>
      </c>
      <c r="H326" s="8" t="s">
        <v>383</v>
      </c>
      <c r="I326" s="6" t="str">
        <f>HYPERLINK("https://archive.ph/o/kCXAs/https://web-beta.archive.org/web/20130315140312/http://clopfic.heroku.com/authors/71", "StreakTheFox")</f>
        <v>StreakTheFox</v>
      </c>
      <c r="J326" s="7" t="s">
        <v>39</v>
      </c>
      <c r="N326" s="7" t="s">
        <v>47</v>
      </c>
      <c r="R326" s="7" t="s">
        <v>66</v>
      </c>
      <c r="AG326" s="9">
        <v>40824.0</v>
      </c>
      <c r="AH326" s="9">
        <v>41066.0</v>
      </c>
    </row>
    <row r="327">
      <c r="A327" s="6" t="str">
        <f>HYPERLINK("https://archive.ph/o/kCXAs/https://web-beta.archive.org/web/20130315140312/http://clopfic.heroku.com/fics/1161", "Nailing Nightmare")</f>
        <v>Nailing Nightmare</v>
      </c>
      <c r="B327" s="7" t="s">
        <v>36</v>
      </c>
      <c r="H327" s="8" t="s">
        <v>384</v>
      </c>
      <c r="I327" s="6" t="str">
        <f>HYPERLINK("https://archive.ph/o/kCXAs/https://web-beta.archive.org/web/20130315140312/http://clopfic.heroku.com/authors/253", "TAW")</f>
        <v>TAW</v>
      </c>
      <c r="Q327" s="7" t="s">
        <v>65</v>
      </c>
      <c r="AG327" s="9">
        <v>41066.0</v>
      </c>
      <c r="AH327" s="9">
        <v>41066.0</v>
      </c>
    </row>
    <row r="328">
      <c r="A328" s="6" t="str">
        <f>HYPERLINK("https://archive.ph/o/kCXAs/https://web-beta.archive.org/web/20130315140312/http://clopfic.heroku.com/fics/1156", "Breaking the latch on Trixie's magic snatch")</f>
        <v>Breaking the latch on Trixie's magic snatch</v>
      </c>
      <c r="C328" s="7" t="s">
        <v>54</v>
      </c>
      <c r="E328" s="7" t="s">
        <v>44</v>
      </c>
      <c r="H328" s="8" t="s">
        <v>385</v>
      </c>
      <c r="I328" s="6" t="str">
        <f>HYPERLINK("https://archive.ph/o/kCXAs/https://web-beta.archive.org/web/20130315140312/http://clopfic.heroku.com/authors/1045", "Aspirant")</f>
        <v>Aspirant</v>
      </c>
      <c r="W328" s="7" t="s">
        <v>69</v>
      </c>
      <c r="AG328" s="9">
        <v>41065.0</v>
      </c>
      <c r="AH328" s="9">
        <v>41066.0</v>
      </c>
    </row>
    <row r="329">
      <c r="A329" s="6" t="str">
        <f>HYPERLINK("https://archive.ph/o/kCXAs/https://web-beta.archive.org/web/20130315140312/http://clopfic.heroku.com/fics/1157", "Of Diamonds and Apples")</f>
        <v>Of Diamonds and Apples</v>
      </c>
      <c r="H329" s="8" t="s">
        <v>386</v>
      </c>
      <c r="I329" s="6" t="str">
        <f>HYPERLINK("https://archive.ph/o/kCXAs/https://web-beta.archive.org/web/20130315140312/http://clopfic.heroku.com/authors/601", "meep288")</f>
        <v>meep288</v>
      </c>
      <c r="S329" s="7" t="s">
        <v>68</v>
      </c>
      <c r="Z329" s="7" t="s">
        <v>40</v>
      </c>
      <c r="AE329" s="7" t="s">
        <v>43</v>
      </c>
      <c r="AG329" s="9">
        <v>41065.0</v>
      </c>
      <c r="AH329" s="9">
        <v>41065.0</v>
      </c>
    </row>
    <row r="330">
      <c r="A330" s="6" t="str">
        <f>HYPERLINK("https://archive.ph/o/kCXAs/https://web-beta.archive.org/web/20130315140312/http://clopfic.heroku.com/fics/1155", "Caramel's Entrapment")</f>
        <v>Caramel's Entrapment</v>
      </c>
      <c r="D330" s="7" t="s">
        <v>37</v>
      </c>
      <c r="E330" s="7" t="s">
        <v>44</v>
      </c>
      <c r="H330" s="8" t="s">
        <v>387</v>
      </c>
      <c r="I330" s="6" t="str">
        <f>HYPERLINK("https://archive.ph/o/kCXAs/https://web-beta.archive.org/web/20130315140312/http://clopfic.heroku.com/authors/1015", "Fics")</f>
        <v>Fics</v>
      </c>
      <c r="K330" s="7" t="s">
        <v>49</v>
      </c>
      <c r="N330" s="7" t="s">
        <v>47</v>
      </c>
      <c r="Z330" s="7" t="s">
        <v>40</v>
      </c>
      <c r="AA330" s="7" t="s">
        <v>113</v>
      </c>
      <c r="AE330" s="7" t="s">
        <v>43</v>
      </c>
      <c r="AG330" s="9">
        <v>41065.0</v>
      </c>
      <c r="AH330" s="9">
        <v>41065.0</v>
      </c>
    </row>
    <row r="331">
      <c r="A331" s="6" t="str">
        <f>HYPERLINK("https://archive.ph/o/kCXAs/https://web-beta.archive.org/web/20130315140312/http://clopfic.heroku.com/fics/1158", "The Two-Step")</f>
        <v>The Two-Step</v>
      </c>
      <c r="F331" s="7" t="s">
        <v>52</v>
      </c>
      <c r="H331" s="8" t="s">
        <v>388</v>
      </c>
      <c r="I331" s="6" t="str">
        <f>HYPERLINK("https://archive.ph/o/kCXAs/https://web-beta.archive.org/web/20130315140312/http://clopfic.heroku.com/authors/1011", "SusieBeeca")</f>
        <v>SusieBeeca</v>
      </c>
      <c r="L331" s="7" t="s">
        <v>62</v>
      </c>
      <c r="Z331" s="7" t="s">
        <v>40</v>
      </c>
      <c r="AE331" s="7" t="s">
        <v>43</v>
      </c>
      <c r="AG331" s="9">
        <v>41065.0</v>
      </c>
      <c r="AH331" s="9">
        <v>41065.0</v>
      </c>
    </row>
    <row r="332">
      <c r="A332" s="6" t="str">
        <f>HYPERLINK("https://archive.ph/o/kCXAs/https://web-beta.archive.org/web/20130315140312/http://clopfic.heroku.com/fics/1154", "Vinyl Gets a Futa Freak Out")</f>
        <v>Vinyl Gets a Futa Freak Out</v>
      </c>
      <c r="C332" s="7" t="s">
        <v>54</v>
      </c>
      <c r="D332" s="7" t="s">
        <v>37</v>
      </c>
      <c r="H332" s="8" t="s">
        <v>389</v>
      </c>
      <c r="I332" s="6" t="str">
        <f>HYPERLINK("https://archive.ph/o/kCXAs/https://web-beta.archive.org/web/20130315140312/http://clopfic.heroku.com/authors/714", "Allosaurus")</f>
        <v>Allosaurus</v>
      </c>
      <c r="O332" s="7" t="s">
        <v>51</v>
      </c>
      <c r="Z332" s="7" t="s">
        <v>40</v>
      </c>
      <c r="AE332" s="7" t="s">
        <v>43</v>
      </c>
      <c r="AG332" s="9">
        <v>41065.0</v>
      </c>
      <c r="AH332" s="9">
        <v>41065.0</v>
      </c>
    </row>
    <row r="333">
      <c r="A333" s="6" t="str">
        <f>HYPERLINK("https://archive.ph/o/kCXAs/https://web-beta.archive.org/web/20130315140312/http://clopfic.heroku.com/fics/1151", "Time")</f>
        <v>Time</v>
      </c>
      <c r="E333" s="7" t="s">
        <v>44</v>
      </c>
      <c r="F333" s="7" t="s">
        <v>52</v>
      </c>
      <c r="G333" s="7" t="s">
        <v>75</v>
      </c>
      <c r="H333" s="8" t="s">
        <v>390</v>
      </c>
      <c r="I333" s="6" t="str">
        <f>HYPERLINK("https://archive.ph/o/kCXAs/https://web-beta.archive.org/web/20130315140312/http://clopfic.heroku.com/authors/672", "Plotface")</f>
        <v>Plotface</v>
      </c>
      <c r="Z333" s="7" t="s">
        <v>40</v>
      </c>
      <c r="AE333" s="7" t="s">
        <v>43</v>
      </c>
      <c r="AG333" s="9">
        <v>41065.0</v>
      </c>
      <c r="AH333" s="9">
        <v>41065.0</v>
      </c>
    </row>
    <row r="334">
      <c r="A334" s="6" t="str">
        <f>HYPERLINK("https://archive.ph/o/kCXAs/https://web-beta.archive.org/web/20130315140312/http://clopfic.heroku.com/fics/1150", "Fun In The Hay")</f>
        <v>Fun In The Hay</v>
      </c>
      <c r="C334" s="7" t="s">
        <v>54</v>
      </c>
      <c r="E334" s="7" t="s">
        <v>44</v>
      </c>
      <c r="H334" s="8" t="s">
        <v>391</v>
      </c>
      <c r="I334" s="6" t="str">
        <f>HYPERLINK("https://archive.ph/o/kCXAs/https://web-beta.archive.org/web/20130315140312/http://clopfic.heroku.com/authors/929", "Cherny_Pegas")</f>
        <v>Cherny_Pegas</v>
      </c>
      <c r="L334" s="7" t="s">
        <v>62</v>
      </c>
      <c r="Z334" s="7" t="s">
        <v>40</v>
      </c>
      <c r="AF334" s="7" t="s">
        <v>41</v>
      </c>
      <c r="AG334" s="9">
        <v>41065.0</v>
      </c>
      <c r="AH334" s="9">
        <v>41065.0</v>
      </c>
    </row>
    <row r="335">
      <c r="A335" s="6" t="str">
        <f>HYPERLINK("https://archive.ph/o/kCXAs/https://web-beta.archive.org/web/20130315140312/http://clopfic.heroku.com/fics/1146", "Fluttershy’s Little Dashie: Assertion is Rewarding")</f>
        <v>Fluttershy’s Little Dashie: Assertion is Rewarding</v>
      </c>
      <c r="B335" s="7" t="s">
        <v>36</v>
      </c>
      <c r="D335" s="7" t="s">
        <v>37</v>
      </c>
      <c r="E335" s="7" t="s">
        <v>44</v>
      </c>
      <c r="H335" s="8" t="s">
        <v>392</v>
      </c>
      <c r="I335" s="6" t="str">
        <f>HYPERLINK("https://archive.ph/o/kCXAs/https://web-beta.archive.org/web/20130315140312/http://clopfic.heroku.com/authors/741", "PinkieBeam")</f>
        <v>PinkieBeam</v>
      </c>
      <c r="M335" s="7" t="s">
        <v>56</v>
      </c>
      <c r="O335" s="7" t="s">
        <v>51</v>
      </c>
      <c r="AG335" s="9">
        <v>41063.0</v>
      </c>
      <c r="AH335" s="9">
        <v>41064.0</v>
      </c>
    </row>
    <row r="336">
      <c r="A336" s="6" t="str">
        <f>HYPERLINK("https://archive.ph/o/kCXAs/https://web-beta.archive.org/web/20130315140312/http://clopfic.heroku.com/fics/1149", "A Night-Time Bath")</f>
        <v>A Night-Time Bath</v>
      </c>
      <c r="C336" s="7" t="s">
        <v>54</v>
      </c>
      <c r="E336" s="7" t="s">
        <v>44</v>
      </c>
      <c r="H336" s="8" t="s">
        <v>393</v>
      </c>
      <c r="I336" s="6" t="str">
        <f>HYPERLINK("https://archive.ph/o/kCXAs/https://web-beta.archive.org/web/20130315140312/http://clopfic.heroku.com/authors/253", "TAW")</f>
        <v>TAW</v>
      </c>
      <c r="Q336" s="7" t="s">
        <v>65</v>
      </c>
      <c r="AG336" s="9">
        <v>41064.0</v>
      </c>
      <c r="AH336" s="9">
        <v>41064.0</v>
      </c>
    </row>
    <row r="337">
      <c r="A337" s="6" t="str">
        <f>HYPERLINK("https://archive.ph/o/kCXAs/https://web-beta.archive.org/web/20130315140312/http://clopfic.heroku.com/fics/788", "Consent")</f>
        <v>Consent</v>
      </c>
      <c r="C337" s="7" t="s">
        <v>54</v>
      </c>
      <c r="E337" s="7" t="s">
        <v>44</v>
      </c>
      <c r="H337" s="8" t="s">
        <v>394</v>
      </c>
      <c r="I337" s="6" t="str">
        <f>HYPERLINK("https://archive.ph/o/kCXAs/https://web-beta.archive.org/web/20130315140312/http://clopfic.heroku.com/authors/946", "Dr. Virtue")</f>
        <v>Dr. Virtue</v>
      </c>
      <c r="J337" s="7" t="s">
        <v>39</v>
      </c>
      <c r="K337" s="7" t="s">
        <v>49</v>
      </c>
      <c r="L337" s="7" t="s">
        <v>62</v>
      </c>
      <c r="M337" s="7" t="s">
        <v>56</v>
      </c>
      <c r="N337" s="7" t="s">
        <v>47</v>
      </c>
      <c r="O337" s="7" t="s">
        <v>51</v>
      </c>
      <c r="R337" s="7" t="s">
        <v>66</v>
      </c>
      <c r="AG337" s="9">
        <v>40947.0</v>
      </c>
      <c r="AH337" s="9">
        <v>41064.0</v>
      </c>
    </row>
    <row r="338">
      <c r="A338" s="6" t="str">
        <f>HYPERLINK("https://archive.ph/o/kCXAs/https://web-beta.archive.org/web/20130315140312/http://clopfic.heroku.com/fics/1145", "Saviour")</f>
        <v>Saviour</v>
      </c>
      <c r="C338" s="7" t="s">
        <v>54</v>
      </c>
      <c r="E338" s="7" t="s">
        <v>44</v>
      </c>
      <c r="H338" s="8" t="s">
        <v>395</v>
      </c>
      <c r="I338" s="6" t="str">
        <f>HYPERLINK("https://archive.ph/o/kCXAs/https://web-beta.archive.org/web/20130315140312/http://clopfic.heroku.com/authors/1000", "Maple Sunset")</f>
        <v>Maple Sunset</v>
      </c>
      <c r="M338" s="7" t="s">
        <v>56</v>
      </c>
      <c r="Z338" s="7" t="s">
        <v>40</v>
      </c>
      <c r="AF338" s="7" t="s">
        <v>41</v>
      </c>
      <c r="AG338" s="9">
        <v>41063.0</v>
      </c>
      <c r="AH338" s="9">
        <v>41063.0</v>
      </c>
    </row>
    <row r="339">
      <c r="A339" s="6" t="str">
        <f>HYPERLINK("https://archive.ph/o/kCXAs/https://web-beta.archive.org/web/20130315140312/http://clopfic.heroku.com/fics/1143", "Your night with Vixy Hooves")</f>
        <v>Your night with Vixy Hooves</v>
      </c>
      <c r="H339" s="8" t="s">
        <v>396</v>
      </c>
      <c r="I339" s="6" t="str">
        <f>HYPERLINK("https://archive.ph/o/kCXAs/https://web-beta.archive.org/web/20130315140312/http://clopfic.heroku.com/authors/949", "KinkyCelestia")</f>
        <v>KinkyCelestia</v>
      </c>
      <c r="Z339" s="7" t="s">
        <v>40</v>
      </c>
      <c r="AE339" s="7" t="s">
        <v>43</v>
      </c>
      <c r="AG339" s="9">
        <v>41063.0</v>
      </c>
      <c r="AH339" s="9">
        <v>41063.0</v>
      </c>
    </row>
    <row r="340">
      <c r="A340" s="6" t="str">
        <f>HYPERLINK("https://archive.ph/o/kCXAs/https://web-beta.archive.org/web/20130315140312/http://clopfic.heroku.com/fics/1142", "Ways of the (Genderbent) Dragon")</f>
        <v>Ways of the (Genderbent) Dragon</v>
      </c>
      <c r="H340" s="8" t="s">
        <v>397</v>
      </c>
      <c r="I340" s="6" t="str">
        <f>HYPERLINK("https://archive.ph/o/kCXAs/https://web-beta.archive.org/web/20130315140312/http://clopfic.heroku.com/authors/870", "Raiden Gekkou")</f>
        <v>Raiden Gekkou</v>
      </c>
      <c r="J340" s="7" t="s">
        <v>39</v>
      </c>
      <c r="R340" s="7" t="s">
        <v>66</v>
      </c>
      <c r="AG340" s="9">
        <v>41063.0</v>
      </c>
      <c r="AH340" s="9">
        <v>41063.0</v>
      </c>
    </row>
    <row r="341">
      <c r="A341" s="6" t="str">
        <f>HYPERLINK("https://archive.ph/o/kCXAs/https://web-beta.archive.org/web/20130315140312/http://clopfic.heroku.com/fics/1140", "Cutie Mark Crusader Fanfiction Writers Go! ")</f>
        <v>Cutie Mark Crusader Fanfiction Writers Go! </v>
      </c>
      <c r="G341" s="7" t="s">
        <v>75</v>
      </c>
      <c r="H341" s="8" t="s">
        <v>398</v>
      </c>
      <c r="I341" s="6" t="str">
        <f>HYPERLINK("https://archive.ph/o/kCXAs/https://web-beta.archive.org/web/20130315140312/http://clopfic.heroku.com/authors/608", "SwiperTheFox")</f>
        <v>SwiperTheFox</v>
      </c>
      <c r="S341" s="7" t="s">
        <v>68</v>
      </c>
      <c r="T341" s="7" t="s">
        <v>59</v>
      </c>
      <c r="U341" s="7" t="s">
        <v>60</v>
      </c>
      <c r="Z341" s="7" t="s">
        <v>40</v>
      </c>
      <c r="AE341" s="7" t="s">
        <v>43</v>
      </c>
      <c r="AF341" s="7" t="s">
        <v>41</v>
      </c>
      <c r="AG341" s="9">
        <v>41062.0</v>
      </c>
      <c r="AH341" s="9">
        <v>41062.0</v>
      </c>
    </row>
    <row r="342">
      <c r="A342" s="6" t="str">
        <f>HYPERLINK("https://archive.ph/o/kCXAs/https://web-beta.archive.org/web/20130315140312/http://clopfic.heroku.com/fics/1139", "Breaking Twilight")</f>
        <v>Breaking Twilight</v>
      </c>
      <c r="B342" s="7" t="s">
        <v>36</v>
      </c>
      <c r="D342" s="7" t="s">
        <v>37</v>
      </c>
      <c r="F342" s="7" t="s">
        <v>52</v>
      </c>
      <c r="H342" s="3"/>
      <c r="I342" s="6" t="str">
        <f>HYPERLINK("https://archive.ph/o/kCXAs/https://web-beta.archive.org/web/20130315140312/http://clopfic.heroku.com/authors/968", "Coxswain")</f>
        <v>Coxswain</v>
      </c>
      <c r="J342" s="7" t="s">
        <v>39</v>
      </c>
      <c r="Z342" s="7" t="s">
        <v>40</v>
      </c>
      <c r="AF342" s="7" t="s">
        <v>41</v>
      </c>
      <c r="AG342" s="9">
        <v>41062.0</v>
      </c>
      <c r="AH342" s="9">
        <v>41062.0</v>
      </c>
    </row>
    <row r="343">
      <c r="A343" s="6" t="str">
        <f>HYPERLINK("https://archive.ph/o/kCXAs/https://web-beta.archive.org/web/20130315140312/http://clopfic.heroku.com/fics/1137", "The Passage of Night")</f>
        <v>The Passage of Night</v>
      </c>
      <c r="E343" s="7" t="s">
        <v>44</v>
      </c>
      <c r="H343" s="8" t="s">
        <v>399</v>
      </c>
      <c r="I343" s="6" t="str">
        <f t="shared" ref="I343:I347" si="11">HYPERLINK("https://archive.ph/o/kCXAs/https://web-beta.archive.org/web/20130315140312/http://clopfic.heroku.com/authors/860", "JujubeLand")</f>
        <v>JujubeLand</v>
      </c>
      <c r="Q343" s="7" t="s">
        <v>65</v>
      </c>
      <c r="AE343" s="7" t="s">
        <v>43</v>
      </c>
      <c r="AG343" s="9">
        <v>41061.0</v>
      </c>
      <c r="AH343" s="9">
        <v>41061.0</v>
      </c>
    </row>
    <row r="344">
      <c r="A344" s="6" t="str">
        <f>HYPERLINK("https://archive.ph/o/kCXAs/https://web-beta.archive.org/web/20130315140312/http://clopfic.heroku.com/fics/1136", "Sweet and Sticky")</f>
        <v>Sweet and Sticky</v>
      </c>
      <c r="E344" s="7" t="s">
        <v>44</v>
      </c>
      <c r="H344" s="8" t="s">
        <v>400</v>
      </c>
      <c r="I344" s="6" t="str">
        <f t="shared" si="11"/>
        <v>JujubeLand</v>
      </c>
      <c r="AE344" s="7" t="s">
        <v>43</v>
      </c>
      <c r="AG344" s="9">
        <v>41061.0</v>
      </c>
      <c r="AH344" s="9">
        <v>41061.0</v>
      </c>
    </row>
    <row r="345">
      <c r="A345" s="6" t="str">
        <f>HYPERLINK("https://archive.ph/o/kCXAs/https://web-beta.archive.org/web/20130315140312/http://clopfic.heroku.com/fics/1135", "Where Earth and Sky Meet")</f>
        <v>Where Earth and Sky Meet</v>
      </c>
      <c r="E345" s="7" t="s">
        <v>44</v>
      </c>
      <c r="H345" s="8" t="s">
        <v>401</v>
      </c>
      <c r="I345" s="6" t="str">
        <f t="shared" si="11"/>
        <v>JujubeLand</v>
      </c>
      <c r="L345" s="7" t="s">
        <v>62</v>
      </c>
      <c r="AE345" s="7" t="s">
        <v>43</v>
      </c>
      <c r="AG345" s="9">
        <v>41061.0</v>
      </c>
      <c r="AH345" s="9">
        <v>41061.0</v>
      </c>
    </row>
    <row r="346">
      <c r="A346" s="6" t="str">
        <f>HYPERLINK("https://archive.ph/o/kCXAs/https://web-beta.archive.org/web/20130315140312/http://clopfic.heroku.com/fics/1134", "A Most Unexpected Foursome")</f>
        <v>A Most Unexpected Foursome</v>
      </c>
      <c r="E346" s="7" t="s">
        <v>44</v>
      </c>
      <c r="H346" s="8" t="s">
        <v>402</v>
      </c>
      <c r="I346" s="6" t="str">
        <f t="shared" si="11"/>
        <v>JujubeLand</v>
      </c>
      <c r="W346" s="7" t="s">
        <v>69</v>
      </c>
      <c r="Y346" s="7" t="s">
        <v>184</v>
      </c>
      <c r="AE346" s="7" t="s">
        <v>43</v>
      </c>
      <c r="AG346" s="9">
        <v>41061.0</v>
      </c>
      <c r="AH346" s="9">
        <v>41061.0</v>
      </c>
    </row>
    <row r="347">
      <c r="A347" s="6" t="str">
        <f>HYPERLINK("https://archive.ph/o/kCXAs/https://web-beta.archive.org/web/20130315140312/http://clopfic.heroku.com/fics/1133", "One Delicious Slice of Cake")</f>
        <v>One Delicious Slice of Cake</v>
      </c>
      <c r="E347" s="7" t="s">
        <v>44</v>
      </c>
      <c r="H347" s="8" t="s">
        <v>403</v>
      </c>
      <c r="I347" s="6" t="str">
        <f t="shared" si="11"/>
        <v>JujubeLand</v>
      </c>
      <c r="AE347" s="7" t="s">
        <v>43</v>
      </c>
      <c r="AG347" s="9">
        <v>41061.0</v>
      </c>
      <c r="AH347" s="9">
        <v>41061.0</v>
      </c>
    </row>
    <row r="348">
      <c r="A348" s="6" t="str">
        <f>HYPERLINK("https://archive.ph/o/kCXAs/https://web-beta.archive.org/web/20130315140312/http://clopfic.heroku.com/fics/1132", "Rainbow Dash Seduces a Watermelon")</f>
        <v>Rainbow Dash Seduces a Watermelon</v>
      </c>
      <c r="G348" s="7" t="s">
        <v>75</v>
      </c>
      <c r="H348" s="8" t="s">
        <v>404</v>
      </c>
      <c r="I348" s="6" t="str">
        <f>HYPERLINK("https://archive.ph/o/kCXAs/https://web-beta.archive.org/web/20130315140312/http://clopfic.heroku.com/fics", "/fics")</f>
        <v>/fics</v>
      </c>
      <c r="M348" s="7" t="s">
        <v>56</v>
      </c>
      <c r="Z348" s="7" t="s">
        <v>40</v>
      </c>
      <c r="AF348" s="7" t="s">
        <v>41</v>
      </c>
      <c r="AG348" s="9">
        <v>41061.0</v>
      </c>
      <c r="AH348" s="9">
        <v>41061.0</v>
      </c>
    </row>
    <row r="349">
      <c r="A349" s="6" t="str">
        <f>HYPERLINK("https://archive.ph/o/kCXAs/https://web-beta.archive.org/web/20130315140312/http://clopfic.heroku.com/fics/1131", "Obedience")</f>
        <v>Obedience</v>
      </c>
      <c r="D349" s="7" t="s">
        <v>37</v>
      </c>
      <c r="H349" s="8" t="s">
        <v>405</v>
      </c>
      <c r="I349" s="6" t="str">
        <f>HYPERLINK("https://archive.ph/o/kCXAs/https://web-beta.archive.org/web/20130315140312/http://clopfic.heroku.com/authors/76", "Fickle")</f>
        <v>Fickle</v>
      </c>
      <c r="Z349" s="7" t="s">
        <v>40</v>
      </c>
      <c r="AE349" s="7" t="s">
        <v>43</v>
      </c>
      <c r="AF349" s="7" t="s">
        <v>41</v>
      </c>
      <c r="AG349" s="9">
        <v>41061.0</v>
      </c>
      <c r="AH349" s="9">
        <v>41061.0</v>
      </c>
    </row>
    <row r="350">
      <c r="A350" s="6" t="str">
        <f>HYPERLINK("https://archive.ph/o/kCXAs/https://web-beta.archive.org/web/20130315140312/http://clopfic.heroku.com/fics/1126", "Sisterly Bonding")</f>
        <v>Sisterly Bonding</v>
      </c>
      <c r="D350" s="7" t="s">
        <v>37</v>
      </c>
      <c r="H350" s="8" t="s">
        <v>406</v>
      </c>
      <c r="I350" s="6" t="str">
        <f>HYPERLINK("https://archive.ph/o/kCXAs/https://web-beta.archive.org/web/20130315140312/http://clopfic.heroku.com/authors/853", "knails")</f>
        <v>knails</v>
      </c>
      <c r="Z350" s="7" t="s">
        <v>40</v>
      </c>
      <c r="AE350" s="7" t="s">
        <v>43</v>
      </c>
      <c r="AG350" s="9">
        <v>41059.0</v>
      </c>
      <c r="AH350" s="9">
        <v>41060.0</v>
      </c>
    </row>
    <row r="351">
      <c r="A351" s="6" t="str">
        <f>HYPERLINK("https://archive.ph/o/kCXAs/https://web-beta.archive.org/web/20130315140312/http://clopfic.heroku.com/fics/1128", "Lickety Split's Big Night")</f>
        <v>Lickety Split's Big Night</v>
      </c>
      <c r="H351" s="8" t="s">
        <v>407</v>
      </c>
      <c r="I351" s="6" t="str">
        <f>HYPERLINK("https://archive.ph/o/kCXAs/https://web-beta.archive.org/web/20130315140312/http://clopfic.heroku.com/authors/855", "AnonPony")</f>
        <v>AnonPony</v>
      </c>
      <c r="V351" s="7" t="s">
        <v>71</v>
      </c>
      <c r="Z351" s="7" t="s">
        <v>40</v>
      </c>
      <c r="AE351" s="7" t="s">
        <v>43</v>
      </c>
      <c r="AG351" s="9">
        <v>41059.0</v>
      </c>
      <c r="AH351" s="9">
        <v>41059.0</v>
      </c>
    </row>
    <row r="352">
      <c r="A352" s="6" t="str">
        <f>HYPERLINK("https://archive.ph/o/kCXAs/https://web-beta.archive.org/web/20130315140312/http://clopfic.heroku.com/fics/1127", "It Started With a Good Book")</f>
        <v>It Started With a Good Book</v>
      </c>
      <c r="E352" s="7" t="s">
        <v>44</v>
      </c>
      <c r="H352" s="8" t="s">
        <v>408</v>
      </c>
      <c r="I352" s="6" t="str">
        <f>HYPERLINK("https://archive.ph/o/kCXAs/https://web-beta.archive.org/web/20130315140312/http://clopfic.heroku.com/authors/1492", "Sorren")</f>
        <v>Sorren</v>
      </c>
      <c r="J352" s="7" t="s">
        <v>39</v>
      </c>
      <c r="M352" s="7" t="s">
        <v>56</v>
      </c>
      <c r="AG352" s="9">
        <v>41059.0</v>
      </c>
      <c r="AH352" s="9">
        <v>41059.0</v>
      </c>
    </row>
    <row r="353">
      <c r="A353" s="6" t="str">
        <f>HYPERLINK("https://archive.ph/o/kCXAs/https://web-beta.archive.org/web/20130315140312/http://clopfic.heroku.com/fics/1125", "A Book worth Doing")</f>
        <v>A Book worth Doing</v>
      </c>
      <c r="D353" s="7" t="s">
        <v>37</v>
      </c>
      <c r="E353" s="7" t="s">
        <v>44</v>
      </c>
      <c r="H353" s="8" t="s">
        <v>409</v>
      </c>
      <c r="I353" s="6" t="str">
        <f>HYPERLINK("https://archive.ph/o/kCXAs/https://web-beta.archive.org/web/20130315140312/http://clopfic.heroku.com/authors/562", "WhatTheFap")</f>
        <v>WhatTheFap</v>
      </c>
      <c r="J353" s="7" t="s">
        <v>39</v>
      </c>
      <c r="R353" s="7" t="s">
        <v>66</v>
      </c>
      <c r="Z353" s="7" t="s">
        <v>40</v>
      </c>
      <c r="AE353" s="7" t="s">
        <v>43</v>
      </c>
      <c r="AG353" s="9">
        <v>41059.0</v>
      </c>
      <c r="AH353" s="9">
        <v>41059.0</v>
      </c>
    </row>
    <row r="354">
      <c r="A354" s="6" t="str">
        <f>HYPERLINK("https://archive.ph/o/kCXAs/https://web-beta.archive.org/web/20130315140312/http://clopfic.heroku.com/fics/1124", "A Genderbent Dream")</f>
        <v>A Genderbent Dream</v>
      </c>
      <c r="C354" s="7" t="s">
        <v>54</v>
      </c>
      <c r="E354" s="7" t="s">
        <v>44</v>
      </c>
      <c r="H354" s="8" t="s">
        <v>410</v>
      </c>
      <c r="I354" s="6" t="str">
        <f>HYPERLINK("https://archive.ph/o/kCXAs/https://web-beta.archive.org/web/20130315140312/http://clopfic.heroku.com/authors/849", "Mil Spec Pony")</f>
        <v>Mil Spec Pony</v>
      </c>
      <c r="R354" s="7" t="s">
        <v>66</v>
      </c>
      <c r="Z354" s="7" t="s">
        <v>40</v>
      </c>
      <c r="AF354" s="7" t="s">
        <v>41</v>
      </c>
      <c r="AG354" s="9">
        <v>41059.0</v>
      </c>
      <c r="AH354" s="9">
        <v>41059.0</v>
      </c>
    </row>
    <row r="355">
      <c r="A355" s="6" t="str">
        <f>HYPERLINK("https://archive.ph/o/kCXAs/https://web-beta.archive.org/web/20130315140312/http://clopfic.heroku.com/fics/1122", "Leo's Tale")</f>
        <v>Leo's Tale</v>
      </c>
      <c r="D355" s="7" t="s">
        <v>37</v>
      </c>
      <c r="E355" s="7" t="s">
        <v>44</v>
      </c>
      <c r="H355" s="8" t="s">
        <v>411</v>
      </c>
      <c r="I355" s="6" t="str">
        <f>HYPERLINK("https://archive.ph/o/kCXAs/https://web-beta.archive.org/web/20130315140312/http://clopfic.heroku.com/authors/1036", "Leo Rockheart")</f>
        <v>Leo Rockheart</v>
      </c>
      <c r="J355" s="7" t="s">
        <v>39</v>
      </c>
      <c r="Z355" s="7" t="s">
        <v>40</v>
      </c>
      <c r="AB355" s="7" t="s">
        <v>101</v>
      </c>
      <c r="AE355" s="7" t="s">
        <v>43</v>
      </c>
      <c r="AF355" s="7" t="s">
        <v>41</v>
      </c>
      <c r="AG355" s="9">
        <v>41058.0</v>
      </c>
      <c r="AH355" s="9">
        <v>41058.0</v>
      </c>
    </row>
    <row r="356">
      <c r="A356" s="6" t="str">
        <f>HYPERLINK("https://archive.ph/o/kCXAs/https://web-beta.archive.org/web/20130315140312/http://clopfic.heroku.com/fics/1120", "Big Mac the Gardener")</f>
        <v>Big Mac the Gardener</v>
      </c>
      <c r="D356" s="7" t="s">
        <v>37</v>
      </c>
      <c r="H356" s="8" t="s">
        <v>412</v>
      </c>
      <c r="I356" s="6" t="str">
        <f>HYPERLINK("https://archive.ph/o/kCXAs/https://web-beta.archive.org/web/20130315140312/http://clopfic.heroku.com/authors/608", "SwiperTheFox")</f>
        <v>SwiperTheFox</v>
      </c>
      <c r="X356" s="7" t="s">
        <v>107</v>
      </c>
      <c r="Z356" s="7" t="s">
        <v>40</v>
      </c>
      <c r="AE356" s="7" t="s">
        <v>43</v>
      </c>
      <c r="AF356" s="7" t="s">
        <v>41</v>
      </c>
      <c r="AG356" s="9">
        <v>41057.0</v>
      </c>
      <c r="AH356" s="9">
        <v>41058.0</v>
      </c>
    </row>
    <row r="357">
      <c r="A357" s="6" t="str">
        <f>HYPERLINK("https://archive.ph/o/kCXAs/https://web-beta.archive.org/web/20130315140312/http://clopfic.heroku.com/fics/1119", "Adventurer's night time misadventures")</f>
        <v>Adventurer's night time misadventures</v>
      </c>
      <c r="D357" s="7" t="s">
        <v>37</v>
      </c>
      <c r="E357" s="7" t="s">
        <v>44</v>
      </c>
      <c r="F357" s="7" t="s">
        <v>52</v>
      </c>
      <c r="H357" s="8" t="s">
        <v>413</v>
      </c>
      <c r="I357" s="6" t="str">
        <f>HYPERLINK("https://archive.ph/o/kCXAs/https://web-beta.archive.org/web/20130315140312/http://clopfic.heroku.com/authors/816", "DropKickMint")</f>
        <v>DropKickMint</v>
      </c>
      <c r="Z357" s="7" t="s">
        <v>40</v>
      </c>
      <c r="AF357" s="7" t="s">
        <v>41</v>
      </c>
      <c r="AG357" s="9">
        <v>41057.0</v>
      </c>
      <c r="AH357" s="9">
        <v>41057.0</v>
      </c>
    </row>
    <row r="358">
      <c r="A358" s="6" t="str">
        <f>HYPERLINK("https://archive.ph/o/kCXAs/https://web-beta.archive.org/web/20130315140312/http://clopfic.heroku.com/fics/1116", "Sunshine and Fluffy Clouds ")</f>
        <v>Sunshine and Fluffy Clouds </v>
      </c>
      <c r="H358" s="8" t="s">
        <v>414</v>
      </c>
      <c r="I358" s="6" t="str">
        <f>HYPERLINK("https://archive.ph/o/kCXAs/https://web-beta.archive.org/web/20130315140312/http://clopfic.heroku.com/authors/760", "Twilightclopple")</f>
        <v>Twilightclopple</v>
      </c>
      <c r="M358" s="7" t="s">
        <v>56</v>
      </c>
      <c r="O358" s="7" t="s">
        <v>51</v>
      </c>
      <c r="AG358" s="9">
        <v>41056.0</v>
      </c>
      <c r="AH358" s="9">
        <v>41056.0</v>
      </c>
    </row>
    <row r="359">
      <c r="A359" s="6" t="str">
        <f>HYPERLINK("https://archive.ph/o/kCXAs/https://web-beta.archive.org/web/20130315140312/http://clopfic.heroku.com/fics/1117", "Twilight's Tale")</f>
        <v>Twilight's Tale</v>
      </c>
      <c r="E359" s="7" t="s">
        <v>44</v>
      </c>
      <c r="H359" s="8" t="s">
        <v>415</v>
      </c>
      <c r="I359" s="6" t="str">
        <f>HYPERLINK("https://archive.ph/o/kCXAs/https://web-beta.archive.org/web/20130315140312/http://clopfic.heroku.com/authors/1036", "Leo Rockheart")</f>
        <v>Leo Rockheart</v>
      </c>
      <c r="J359" s="7" t="s">
        <v>39</v>
      </c>
      <c r="Z359" s="7" t="s">
        <v>40</v>
      </c>
      <c r="AE359" s="7" t="s">
        <v>43</v>
      </c>
      <c r="AF359" s="7" t="s">
        <v>41</v>
      </c>
      <c r="AG359" s="9">
        <v>41056.0</v>
      </c>
      <c r="AH359" s="9">
        <v>41056.0</v>
      </c>
    </row>
    <row r="360">
      <c r="A360" s="6" t="str">
        <f>HYPERLINK("https://archive.ph/o/kCXAs/https://web-beta.archive.org/web/20130315140312/http://clopfic.heroku.com/fics/1115", "A new secret")</f>
        <v>A new secret</v>
      </c>
      <c r="D360" s="7" t="s">
        <v>37</v>
      </c>
      <c r="H360" s="8" t="s">
        <v>416</v>
      </c>
      <c r="I360" s="6" t="str">
        <f>HYPERLINK("https://archive.ph/o/kCXAs/https://web-beta.archive.org/web/20130315140312/http://clopfic.heroku.com/authors/811", "stemofathorn")</f>
        <v>stemofathorn</v>
      </c>
      <c r="M360" s="7" t="s">
        <v>56</v>
      </c>
      <c r="O360" s="7" t="s">
        <v>51</v>
      </c>
      <c r="AG360" s="9">
        <v>41055.0</v>
      </c>
      <c r="AH360" s="9">
        <v>41055.0</v>
      </c>
    </row>
    <row r="361">
      <c r="A361" s="3" t="str">
        <f>HYPERLINK("https://archive.ph/o/kCXAs/https://web-beta.archive.org/web/20130315140312/http://clopfic.heroku.com/fics/1114", ""What I Learned at Summer Camp"")</f>
        <v>#ERROR!</v>
      </c>
      <c r="E361" s="7" t="s">
        <v>44</v>
      </c>
      <c r="H361" s="8" t="s">
        <v>417</v>
      </c>
      <c r="I361" s="6" t="str">
        <f>HYPERLINK("https://archive.ph/o/kCXAs/https://web-beta.archive.org/web/20130315140312/http://clopfic.heroku.com/authors/253", "TAW")</f>
        <v>TAW</v>
      </c>
      <c r="M361" s="7" t="s">
        <v>56</v>
      </c>
      <c r="AB361" s="7" t="s">
        <v>101</v>
      </c>
      <c r="AC361" s="7" t="s">
        <v>102</v>
      </c>
      <c r="AG361" s="9">
        <v>41055.0</v>
      </c>
      <c r="AH361" s="9">
        <v>41055.0</v>
      </c>
    </row>
    <row r="362">
      <c r="A362" s="6" t="str">
        <f>HYPERLINK("https://archive.ph/o/kCXAs/https://web-beta.archive.org/web/20130315140312/http://clopfic.heroku.com/fics/1113", "A Farmer's Reprieve")</f>
        <v>A Farmer's Reprieve</v>
      </c>
      <c r="E362" s="7" t="s">
        <v>44</v>
      </c>
      <c r="H362" s="8" t="s">
        <v>418</v>
      </c>
      <c r="I362" s="6" t="str">
        <f>HYPERLINK("https://archive.ph/o/kCXAs/https://web-beta.archive.org/web/20130315140312/http://clopfic.heroku.com/authors/805", "The Fabulous Redheart")</f>
        <v>The Fabulous Redheart</v>
      </c>
      <c r="K362" s="7" t="s">
        <v>49</v>
      </c>
      <c r="L362" s="7" t="s">
        <v>62</v>
      </c>
      <c r="AG362" s="9">
        <v>41055.0</v>
      </c>
      <c r="AH362" s="9">
        <v>41055.0</v>
      </c>
    </row>
    <row r="363">
      <c r="A363" s="6" t="str">
        <f>HYPERLINK("https://archive.ph/o/kCXAs/https://web-beta.archive.org/web/20130315140312/http://clopfic.heroku.com/fics/1112", "Switcheroo")</f>
        <v>Switcheroo</v>
      </c>
      <c r="E363" s="7" t="s">
        <v>44</v>
      </c>
      <c r="F363" s="7" t="s">
        <v>52</v>
      </c>
      <c r="H363" s="8" t="s">
        <v>419</v>
      </c>
      <c r="I363" s="6" t="str">
        <f t="shared" ref="I363:I364" si="12">HYPERLINK("https://archive.ph/o/kCXAs/https://web-beta.archive.org/web/20130315140312/http://clopfic.heroku.com/authors/680", "biologic orthodoxy")</f>
        <v>biologic orthodoxy</v>
      </c>
      <c r="K363" s="7" t="s">
        <v>49</v>
      </c>
      <c r="L363" s="7" t="s">
        <v>62</v>
      </c>
      <c r="M363" s="7" t="s">
        <v>56</v>
      </c>
      <c r="N363" s="7" t="s">
        <v>47</v>
      </c>
      <c r="O363" s="7" t="s">
        <v>51</v>
      </c>
      <c r="Q363" s="7" t="s">
        <v>65</v>
      </c>
      <c r="AG363" s="9">
        <v>41055.0</v>
      </c>
      <c r="AH363" s="9">
        <v>41055.0</v>
      </c>
    </row>
    <row r="364">
      <c r="A364" s="6" t="str">
        <f>HYPERLINK("https://archive.ph/o/kCXAs/https://web-beta.archive.org/web/20130315140312/http://clopfic.heroku.com/fics/1111", "How to Steal Centuries")</f>
        <v>How to Steal Centuries</v>
      </c>
      <c r="D364" s="7" t="s">
        <v>37</v>
      </c>
      <c r="E364" s="7" t="s">
        <v>44</v>
      </c>
      <c r="H364" s="8" t="s">
        <v>420</v>
      </c>
      <c r="I364" s="6" t="str">
        <f t="shared" si="12"/>
        <v>biologic orthodoxy</v>
      </c>
      <c r="Z364" s="7" t="s">
        <v>40</v>
      </c>
      <c r="AE364" s="7" t="s">
        <v>43</v>
      </c>
      <c r="AG364" s="9">
        <v>41055.0</v>
      </c>
      <c r="AH364" s="9">
        <v>41055.0</v>
      </c>
    </row>
    <row r="365">
      <c r="A365" s="6" t="str">
        <f>HYPERLINK("https://archive.ph/o/kCXAs/https://web-beta.archive.org/web/20130315140312/http://clopfic.heroku.com/fics/1109", "Luna Scores an Ace")</f>
        <v>Luna Scores an Ace</v>
      </c>
      <c r="D365" s="7" t="s">
        <v>37</v>
      </c>
      <c r="H365" s="8" t="s">
        <v>421</v>
      </c>
      <c r="I365" s="6" t="str">
        <f>HYPERLINK("https://archive.ph/o/kCXAs/https://web-beta.archive.org/web/20130315140312/http://clopfic.heroku.com/authors/562", "WhatTheFap")</f>
        <v>WhatTheFap</v>
      </c>
      <c r="Q365" s="7" t="s">
        <v>65</v>
      </c>
      <c r="Z365" s="7" t="s">
        <v>40</v>
      </c>
      <c r="AE365" s="7" t="s">
        <v>43</v>
      </c>
      <c r="AG365" s="9">
        <v>41054.0</v>
      </c>
      <c r="AH365" s="9">
        <v>41054.0</v>
      </c>
    </row>
    <row r="366">
      <c r="A366" s="6" t="str">
        <f>HYPERLINK("https://archive.ph/o/kCXAs/https://web-beta.archive.org/web/20130315140312/http://clopfic.heroku.com/fics/1027", "Path of Discord")</f>
        <v>Path of Discord</v>
      </c>
      <c r="B366" s="7" t="s">
        <v>36</v>
      </c>
      <c r="D366" s="7" t="s">
        <v>37</v>
      </c>
      <c r="F366" s="7" t="s">
        <v>52</v>
      </c>
      <c r="H366" s="8" t="s">
        <v>422</v>
      </c>
      <c r="I366" s="6" t="str">
        <f>HYPERLINK("https://archive.ph/o/kCXAs/https://web-beta.archive.org/web/20130315140312/http://clopfic.heroku.com/authors/742", "Lance Hardwood")</f>
        <v>Lance Hardwood</v>
      </c>
      <c r="J366" s="7" t="s">
        <v>39</v>
      </c>
      <c r="K366" s="7" t="s">
        <v>49</v>
      </c>
      <c r="L366" s="7" t="s">
        <v>62</v>
      </c>
      <c r="M366" s="7" t="s">
        <v>56</v>
      </c>
      <c r="N366" s="7" t="s">
        <v>47</v>
      </c>
      <c r="O366" s="7" t="s">
        <v>51</v>
      </c>
      <c r="AG366" s="9">
        <v>41028.0</v>
      </c>
      <c r="AH366" s="9">
        <v>41054.0</v>
      </c>
    </row>
    <row r="367">
      <c r="A367" s="6" t="str">
        <f>HYPERLINK("https://archive.ph/o/kCXAs/https://web-beta.archive.org/web/20130315140312/http://clopfic.heroku.com/fics/1108", "Twilight Attempts a Fapfic")</f>
        <v>Twilight Attempts a Fapfic</v>
      </c>
      <c r="C367" s="7" t="s">
        <v>54</v>
      </c>
      <c r="H367" s="8" t="s">
        <v>423</v>
      </c>
      <c r="I367" s="6" t="str">
        <f>HYPERLINK("https://archive.ph/o/kCXAs/https://web-beta.archive.org/web/20130315140312/http://clopfic.heroku.com/authors/608", "SwiperTheFox")</f>
        <v>SwiperTheFox</v>
      </c>
      <c r="J367" s="7" t="s">
        <v>39</v>
      </c>
      <c r="Z367" s="7" t="s">
        <v>40</v>
      </c>
      <c r="AE367" s="7" t="s">
        <v>43</v>
      </c>
      <c r="AG367" s="9">
        <v>41052.0</v>
      </c>
      <c r="AH367" s="9">
        <v>41052.0</v>
      </c>
    </row>
    <row r="368">
      <c r="A368" s="6" t="str">
        <f>HYPERLINK("https://archive.ph/o/kCXAs/https://web-beta.archive.org/web/20130315140312/http://clopfic.heroku.com/fics/1107", "Cadence's Naughty Little Fetish")</f>
        <v>Cadence's Naughty Little Fetish</v>
      </c>
      <c r="D368" s="7" t="s">
        <v>37</v>
      </c>
      <c r="H368" s="8" t="s">
        <v>424</v>
      </c>
      <c r="I368" s="6" t="str">
        <f>HYPERLINK("https://archive.ph/o/kCXAs/https://web-beta.archive.org/web/20130315140312/http://clopfic.heroku.com/authors/801", "JaydexTheShadowKnight")</f>
        <v>JaydexTheShadowKnight</v>
      </c>
      <c r="P368" s="7" t="s">
        <v>64</v>
      </c>
      <c r="Q368" s="7" t="s">
        <v>65</v>
      </c>
      <c r="AG368" s="9">
        <v>41052.0</v>
      </c>
      <c r="AH368" s="9">
        <v>41052.0</v>
      </c>
    </row>
    <row r="369">
      <c r="A369" s="6" t="str">
        <f>HYPERLINK("https://archive.ph/o/kCXAs/https://web-beta.archive.org/web/20130315140312/http://clopfic.heroku.com/fics/1106", "Weekend of WTF")</f>
        <v>Weekend of WTF</v>
      </c>
      <c r="C369" s="7" t="s">
        <v>54</v>
      </c>
      <c r="D369" s="7" t="s">
        <v>37</v>
      </c>
      <c r="E369" s="7" t="s">
        <v>44</v>
      </c>
      <c r="F369" s="7" t="s">
        <v>52</v>
      </c>
      <c r="H369" s="8" t="s">
        <v>425</v>
      </c>
      <c r="I369" s="6" t="str">
        <f>HYPERLINK("https://archive.ph/o/kCXAs/https://web-beta.archive.org/web/20130315140312/http://clopfic.heroku.com/authors/800", "Tropicleaf")</f>
        <v>Tropicleaf</v>
      </c>
      <c r="J369" s="7" t="s">
        <v>39</v>
      </c>
      <c r="M369" s="7" t="s">
        <v>56</v>
      </c>
      <c r="O369" s="7" t="s">
        <v>51</v>
      </c>
      <c r="AG369" s="9">
        <v>41052.0</v>
      </c>
      <c r="AH369" s="9">
        <v>41052.0</v>
      </c>
    </row>
    <row r="370">
      <c r="A370" s="6" t="str">
        <f>HYPERLINK("https://archive.ph/o/kCXAs/https://web-beta.archive.org/web/20130315140312/http://clopfic.heroku.com/fics/1105", "A Human in Equestria?!")</f>
        <v>A Human in Equestria?!</v>
      </c>
      <c r="C370" s="7" t="s">
        <v>54</v>
      </c>
      <c r="F370" s="7" t="s">
        <v>52</v>
      </c>
      <c r="H370" s="8" t="s">
        <v>426</v>
      </c>
      <c r="I370" s="6" t="str">
        <f>HYPERLINK("https://archive.ph/o/kCXAs/https://web-beta.archive.org/web/20130315140312/http://clopfic.heroku.com/authors/681", "Anonymous Pegasus")</f>
        <v>Anonymous Pegasus</v>
      </c>
      <c r="Z370" s="7" t="s">
        <v>40</v>
      </c>
      <c r="AB370" s="7" t="s">
        <v>101</v>
      </c>
      <c r="AF370" s="7" t="s">
        <v>41</v>
      </c>
      <c r="AG370" s="9">
        <v>41051.0</v>
      </c>
      <c r="AH370" s="9">
        <v>41051.0</v>
      </c>
    </row>
    <row r="371">
      <c r="A371" s="6" t="str">
        <f>HYPERLINK("https://archive.ph/o/kCXAs/https://web-beta.archive.org/web/20130315140312/http://clopfic.heroku.com/fics/890", "Happiness Lies Across the Room")</f>
        <v>Happiness Lies Across the Room</v>
      </c>
      <c r="C371" s="7" t="s">
        <v>54</v>
      </c>
      <c r="D371" s="7" t="s">
        <v>37</v>
      </c>
      <c r="E371" s="7" t="s">
        <v>44</v>
      </c>
      <c r="F371" s="7" t="s">
        <v>52</v>
      </c>
      <c r="H371" s="8" t="s">
        <v>427</v>
      </c>
      <c r="I371" s="6" t="str">
        <f>HYPERLINK("https://archive.ph/o/kCXAs/https://web-beta.archive.org/web/20130315140312/http://clopfic.heroku.com/authors/645", "LunaIsMaiWaifu")</f>
        <v>LunaIsMaiWaifu</v>
      </c>
      <c r="J371" s="7" t="s">
        <v>39</v>
      </c>
      <c r="Z371" s="7" t="s">
        <v>40</v>
      </c>
      <c r="AF371" s="7" t="s">
        <v>41</v>
      </c>
      <c r="AG371" s="9">
        <v>40985.0</v>
      </c>
      <c r="AH371" s="9">
        <v>41051.0</v>
      </c>
    </row>
    <row r="372">
      <c r="A372" s="6" t="str">
        <f>HYPERLINK("https://archive.ph/o/kCXAs/https://web-beta.archive.org/web/20130315140312/http://clopfic.heroku.com/fics/1104", "Berry Punch and belly rubs")</f>
        <v>Berry Punch and belly rubs</v>
      </c>
      <c r="C372" s="7" t="s">
        <v>54</v>
      </c>
      <c r="D372" s="7" t="s">
        <v>37</v>
      </c>
      <c r="E372" s="7" t="s">
        <v>44</v>
      </c>
      <c r="H372" s="8" t="s">
        <v>428</v>
      </c>
      <c r="I372" s="6" t="str">
        <f>HYPERLINK("https://archive.ph/o/kCXAs/https://web-beta.archive.org/web/20130315140312/http://clopfic.heroku.com/authors/798", "Gaz")</f>
        <v>Gaz</v>
      </c>
      <c r="Z372" s="7" t="s">
        <v>40</v>
      </c>
      <c r="AE372" s="7" t="s">
        <v>43</v>
      </c>
      <c r="AF372" s="7" t="s">
        <v>41</v>
      </c>
      <c r="AG372" s="9">
        <v>41051.0</v>
      </c>
      <c r="AH372" s="9">
        <v>41051.0</v>
      </c>
    </row>
    <row r="373">
      <c r="A373" s="6" t="str">
        <f>HYPERLINK("https://archive.ph/o/kCXAs/https://web-beta.archive.org/web/20130315140312/http://clopfic.heroku.com/fics/1102", "A day called estrous")</f>
        <v>A day called estrous</v>
      </c>
      <c r="E373" s="7" t="s">
        <v>44</v>
      </c>
      <c r="H373" s="8" t="s">
        <v>429</v>
      </c>
      <c r="I373" s="6" t="str">
        <f>HYPERLINK("https://archive.ph/o/kCXAs/https://web-beta.archive.org/web/20130315140312/http://clopfic.heroku.com/authors/796", "Soul Hook")</f>
        <v>Soul Hook</v>
      </c>
      <c r="J373" s="7" t="s">
        <v>39</v>
      </c>
      <c r="Z373" s="7" t="s">
        <v>40</v>
      </c>
      <c r="AE373" s="7" t="s">
        <v>43</v>
      </c>
      <c r="AF373" s="7" t="s">
        <v>41</v>
      </c>
      <c r="AG373" s="9">
        <v>41050.0</v>
      </c>
      <c r="AH373" s="9">
        <v>41050.0</v>
      </c>
    </row>
    <row r="374">
      <c r="A374" s="6" t="str">
        <f>HYPERLINK("https://archive.ph/o/kCXAs/https://web-beta.archive.org/web/20130315140312/http://clopfic.heroku.com/fics/1101", "Apple Slices")</f>
        <v>Apple Slices</v>
      </c>
      <c r="B374" s="7" t="s">
        <v>36</v>
      </c>
      <c r="D374" s="7" t="s">
        <v>37</v>
      </c>
      <c r="H374" s="8" t="s">
        <v>430</v>
      </c>
      <c r="I374" s="6" t="str">
        <f>HYPERLINK("https://archive.ph/o/kCXAs/https://web-beta.archive.org/web/20130315140312/http://clopfic.heroku.com/authors/795", "Dashiel")</f>
        <v>Dashiel</v>
      </c>
      <c r="L374" s="7" t="s">
        <v>62</v>
      </c>
      <c r="S374" s="7" t="s">
        <v>68</v>
      </c>
      <c r="V374" s="7" t="s">
        <v>71</v>
      </c>
      <c r="AG374" s="9">
        <v>41050.0</v>
      </c>
      <c r="AH374" s="9">
        <v>41050.0</v>
      </c>
    </row>
    <row r="375">
      <c r="A375" s="6" t="str">
        <f>HYPERLINK("https://archive.ph/o/kCXAs/https://web-beta.archive.org/web/20130315140312/http://clopfic.heroku.com/fics/1024", "Cutie Mark Cumsicles")</f>
        <v>Cutie Mark Cumsicles</v>
      </c>
      <c r="B375" s="7" t="s">
        <v>36</v>
      </c>
      <c r="C375" s="7" t="s">
        <v>54</v>
      </c>
      <c r="D375" s="7" t="s">
        <v>37</v>
      </c>
      <c r="E375" s="7" t="s">
        <v>44</v>
      </c>
      <c r="H375" s="8" t="s">
        <v>431</v>
      </c>
      <c r="I375" s="6" t="str">
        <f>HYPERLINK("https://archive.ph/o/kCXAs/https://web-beta.archive.org/web/20130315140312/http://clopfic.heroku.com/authors/562", "WhatTheFap")</f>
        <v>WhatTheFap</v>
      </c>
      <c r="J375" s="7" t="s">
        <v>39</v>
      </c>
      <c r="K375" s="7" t="s">
        <v>49</v>
      </c>
      <c r="L375" s="7" t="s">
        <v>62</v>
      </c>
      <c r="M375" s="7" t="s">
        <v>56</v>
      </c>
      <c r="N375" s="7" t="s">
        <v>47</v>
      </c>
      <c r="O375" s="7" t="s">
        <v>51</v>
      </c>
      <c r="P375" s="7" t="s">
        <v>64</v>
      </c>
      <c r="R375" s="7" t="s">
        <v>66</v>
      </c>
      <c r="S375" s="7" t="s">
        <v>68</v>
      </c>
      <c r="T375" s="7" t="s">
        <v>59</v>
      </c>
      <c r="U375" s="7" t="s">
        <v>60</v>
      </c>
      <c r="AG375" s="9">
        <v>41027.0</v>
      </c>
      <c r="AH375" s="9">
        <v>41050.0</v>
      </c>
    </row>
    <row r="376">
      <c r="A376" s="6" t="str">
        <f>HYPERLINK("https://archive.ph/o/kCXAs/https://web-beta.archive.org/web/20130315140312/http://clopfic.heroku.com/fics/1032", "Poking Pierce")</f>
        <v>Poking Pierce</v>
      </c>
      <c r="H376" s="8" t="s">
        <v>432</v>
      </c>
      <c r="I376" s="6" t="str">
        <f>HYPERLINK("https://archive.ph/o/kCXAs/https://web-beta.archive.org/web/20130315140312/http://clopfic.heroku.com/authors/601", "meep288")</f>
        <v>meep288</v>
      </c>
      <c r="Z376" s="7" t="s">
        <v>40</v>
      </c>
      <c r="AE376" s="7" t="s">
        <v>43</v>
      </c>
      <c r="AF376" s="7" t="s">
        <v>41</v>
      </c>
      <c r="AG376" s="9">
        <v>41029.0</v>
      </c>
      <c r="AH376" s="9">
        <v>41050.0</v>
      </c>
    </row>
    <row r="377">
      <c r="A377" s="6" t="str">
        <f>HYPERLINK("https://archive.ph/o/kCXAs/https://web-beta.archive.org/web/20130315140312/http://clopfic.heroku.com/fics/1096", "Bucking Above Your Weight")</f>
        <v>Bucking Above Your Weight</v>
      </c>
      <c r="C377" s="7" t="s">
        <v>54</v>
      </c>
      <c r="E377" s="7" t="s">
        <v>44</v>
      </c>
      <c r="H377" s="8" t="s">
        <v>433</v>
      </c>
      <c r="I377" s="6" t="str">
        <f>HYPERLINK("https://archive.ph/o/kCXAs/https://web-beta.archive.org/web/20130315140312/http://clopfic.heroku.com/authors/608", "SwiperTheFox")</f>
        <v>SwiperTheFox</v>
      </c>
      <c r="Z377" s="7" t="s">
        <v>40</v>
      </c>
      <c r="AE377" s="7" t="s">
        <v>43</v>
      </c>
      <c r="AF377" s="7" t="s">
        <v>41</v>
      </c>
      <c r="AG377" s="9">
        <v>41050.0</v>
      </c>
      <c r="AH377" s="9">
        <v>41050.0</v>
      </c>
    </row>
    <row r="378">
      <c r="A378" s="6" t="str">
        <f>HYPERLINK("https://archive.ph/o/kCXAs/https://web-beta.archive.org/web/20130315140312/http://clopfic.heroku.com/fics/1093", "In The Library")</f>
        <v>In The Library</v>
      </c>
      <c r="C378" s="7" t="s">
        <v>54</v>
      </c>
      <c r="D378" s="7" t="s">
        <v>37</v>
      </c>
      <c r="E378" s="7" t="s">
        <v>44</v>
      </c>
      <c r="H378" s="8" t="s">
        <v>434</v>
      </c>
      <c r="I378" s="6" t="str">
        <f>HYPERLINK("https://archive.ph/o/kCXAs/https://web-beta.archive.org/web/20130315140312/http://clopfic.heroku.com/authors/695", "PonyWifeAsshole")</f>
        <v>PonyWifeAsshole</v>
      </c>
      <c r="J378" s="7" t="s">
        <v>39</v>
      </c>
      <c r="Z378" s="7" t="s">
        <v>40</v>
      </c>
      <c r="AF378" s="7" t="s">
        <v>41</v>
      </c>
      <c r="AG378" s="9">
        <v>41049.0</v>
      </c>
      <c r="AH378" s="9">
        <v>41049.0</v>
      </c>
    </row>
    <row r="379">
      <c r="A379" s="6" t="str">
        <f>HYPERLINK("https://archive.ph/o/kCXAs/https://web-beta.archive.org/web/20130315140312/http://clopfic.heroku.com/fics/1088", "Pinkie's Special Treats")</f>
        <v>Pinkie's Special Treats</v>
      </c>
      <c r="E379" s="7" t="s">
        <v>44</v>
      </c>
      <c r="H379" s="8" t="s">
        <v>435</v>
      </c>
      <c r="I379" s="6" t="str">
        <f>HYPERLINK("https://archive.ph/o/kCXAs/https://web-beta.archive.org/web/20130315140312/http://clopfic.heroku.com/authors/788", "Tired_eyes")</f>
        <v>Tired_eyes</v>
      </c>
      <c r="K379" s="7" t="s">
        <v>49</v>
      </c>
      <c r="AF379" s="7" t="s">
        <v>41</v>
      </c>
      <c r="AG379" s="9">
        <v>41047.0</v>
      </c>
      <c r="AH379" s="9">
        <v>41047.0</v>
      </c>
    </row>
    <row r="380">
      <c r="A380" s="6" t="str">
        <f>HYPERLINK("https://archive.ph/o/kCXAs/https://web-beta.archive.org/web/20130315140312/http://clopfic.heroku.com/fics/1087", "BAKING MUFFINS episode 1: A New Recipe")</f>
        <v>BAKING MUFFINS episode 1: A New Recipe</v>
      </c>
      <c r="B380" s="7" t="s">
        <v>36</v>
      </c>
      <c r="C380" s="7" t="s">
        <v>54</v>
      </c>
      <c r="H380" s="8" t="s">
        <v>436</v>
      </c>
      <c r="I380" s="6" t="str">
        <f>HYPERLINK("https://archive.ph/o/kCXAs/https://web-beta.archive.org/web/20130315140312/http://clopfic.heroku.com/authors/787", "RatChieftain")</f>
        <v>RatChieftain</v>
      </c>
      <c r="Z380" s="7" t="s">
        <v>40</v>
      </c>
      <c r="AA380" s="7" t="s">
        <v>113</v>
      </c>
      <c r="AF380" s="7" t="s">
        <v>41</v>
      </c>
      <c r="AG380" s="9">
        <v>41047.0</v>
      </c>
      <c r="AH380" s="9">
        <v>41047.0</v>
      </c>
    </row>
    <row r="381">
      <c r="A381" s="6" t="str">
        <f>HYPERLINK("https://archive.ph/o/kCXAs/https://web-beta.archive.org/web/20130315140312/http://clopfic.heroku.com/fics/1086", "Mares and Butterflies")</f>
        <v>Mares and Butterflies</v>
      </c>
      <c r="C381" s="7" t="s">
        <v>54</v>
      </c>
      <c r="E381" s="7" t="s">
        <v>44</v>
      </c>
      <c r="H381" s="8" t="s">
        <v>437</v>
      </c>
      <c r="I381" s="6" t="str">
        <f>HYPERLINK("https://archive.ph/o/kCXAs/https://web-beta.archive.org/web/20130315140312/http://clopfic.heroku.com/authors/786", "doomguy")</f>
        <v>doomguy</v>
      </c>
      <c r="J381" s="7" t="s">
        <v>39</v>
      </c>
      <c r="Z381" s="7" t="s">
        <v>40</v>
      </c>
      <c r="AF381" s="7" t="s">
        <v>41</v>
      </c>
      <c r="AG381" s="9">
        <v>41047.0</v>
      </c>
      <c r="AH381" s="9">
        <v>41047.0</v>
      </c>
    </row>
    <row r="382">
      <c r="A382" s="6" t="str">
        <f>HYPERLINK("https://archive.ph/o/kCXAs/https://web-beta.archive.org/web/20130315140312/http://clopfic.heroku.com/fics/1085", "Insatiable Dash")</f>
        <v>Insatiable Dash</v>
      </c>
      <c r="C382" s="7" t="s">
        <v>54</v>
      </c>
      <c r="D382" s="7" t="s">
        <v>37</v>
      </c>
      <c r="H382" s="8" t="s">
        <v>438</v>
      </c>
      <c r="I382" s="6" t="str">
        <f>HYPERLINK("https://archive.ph/o/kCXAs/https://web-beta.archive.org/web/20130315140312/http://clopfic.heroku.com/authors/714", "Allosaurus")</f>
        <v>Allosaurus</v>
      </c>
      <c r="M382" s="7" t="s">
        <v>56</v>
      </c>
      <c r="O382" s="7" t="s">
        <v>51</v>
      </c>
      <c r="AG382" s="9">
        <v>41047.0</v>
      </c>
      <c r="AH382" s="9">
        <v>41047.0</v>
      </c>
    </row>
    <row r="383">
      <c r="A383" s="6" t="str">
        <f>HYPERLINK("https://archive.ph/o/kCXAs/https://web-beta.archive.org/web/20130315140312/http://clopfic.heroku.com/fics/1084", "All Of Your Love")</f>
        <v>All Of Your Love</v>
      </c>
      <c r="C383" s="7" t="s">
        <v>54</v>
      </c>
      <c r="E383" s="7" t="s">
        <v>44</v>
      </c>
      <c r="H383" s="8" t="s">
        <v>439</v>
      </c>
      <c r="I383" s="6" t="str">
        <f>HYPERLINK("https://archive.ph/o/kCXAs/https://web-beta.archive.org/web/20130315140312/http://clopfic.heroku.com/authors/785", "Shadowbane")</f>
        <v>Shadowbane</v>
      </c>
      <c r="S383" s="7" t="s">
        <v>68</v>
      </c>
      <c r="T383" s="7" t="s">
        <v>59</v>
      </c>
      <c r="U383" s="7" t="s">
        <v>60</v>
      </c>
      <c r="Z383" s="7" t="s">
        <v>40</v>
      </c>
      <c r="AF383" s="7" t="s">
        <v>41</v>
      </c>
      <c r="AG383" s="9">
        <v>41047.0</v>
      </c>
      <c r="AH383" s="9">
        <v>41047.0</v>
      </c>
    </row>
    <row r="384">
      <c r="A384" s="6" t="str">
        <f>HYPERLINK("https://archive.ph/o/kCXAs/https://web-beta.archive.org/web/20130315140312/http://clopfic.heroku.com/fics/1082", "No Fear, Austere!")</f>
        <v>No Fear, Austere!</v>
      </c>
      <c r="C384" s="7" t="s">
        <v>54</v>
      </c>
      <c r="H384" s="8" t="s">
        <v>440</v>
      </c>
      <c r="I384" s="6" t="str">
        <f>HYPERLINK("https://archive.ph/o/kCXAs/https://web-beta.archive.org/web/20130315140312/http://clopfic.heroku.com/authors/784", "Mr. Unsmiley")</f>
        <v>Mr. Unsmiley</v>
      </c>
      <c r="J384" s="7" t="s">
        <v>39</v>
      </c>
      <c r="L384" s="7" t="s">
        <v>62</v>
      </c>
      <c r="M384" s="7" t="s">
        <v>56</v>
      </c>
      <c r="N384" s="7" t="s">
        <v>47</v>
      </c>
      <c r="AG384" s="9">
        <v>41046.0</v>
      </c>
      <c r="AH384" s="9">
        <v>41046.0</v>
      </c>
    </row>
    <row r="385">
      <c r="A385" s="6" t="str">
        <f>HYPERLINK("https://archive.ph/o/kCXAs/https://web-beta.archive.org/web/20130315140312/http://clopfic.heroku.com/fics/1080", "Snapshots from the Ruins of My Mind Part 2")</f>
        <v>Snapshots from the Ruins of My Mind Part 2</v>
      </c>
      <c r="C385" s="7" t="s">
        <v>54</v>
      </c>
      <c r="D385" s="7" t="s">
        <v>37</v>
      </c>
      <c r="E385" s="7" t="s">
        <v>44</v>
      </c>
      <c r="H385" s="8" t="s">
        <v>441</v>
      </c>
      <c r="I385" s="6" t="str">
        <f>HYPERLINK("https://archive.ph/o/kCXAs/https://web-beta.archive.org/web/20130315140312/http://clopfic.heroku.com/authors/80", "Hotsauce")</f>
        <v>Hotsauce</v>
      </c>
      <c r="Q385" s="7" t="s">
        <v>65</v>
      </c>
      <c r="Z385" s="7" t="s">
        <v>40</v>
      </c>
      <c r="AF385" s="7" t="s">
        <v>41</v>
      </c>
      <c r="AG385" s="9">
        <v>41045.0</v>
      </c>
      <c r="AH385" s="9">
        <v>41045.0</v>
      </c>
    </row>
    <row r="386">
      <c r="A386" s="6" t="str">
        <f>HYPERLINK("https://archive.ph/o/kCXAs/https://web-beta.archive.org/web/20130315140312/http://clopfic.heroku.com/fics/1079", "rainbow / Dash")</f>
        <v>rainbow / Dash</v>
      </c>
      <c r="C386" s="7" t="s">
        <v>54</v>
      </c>
      <c r="D386" s="7" t="s">
        <v>37</v>
      </c>
      <c r="E386" s="7" t="s">
        <v>44</v>
      </c>
      <c r="H386" s="8" t="s">
        <v>442</v>
      </c>
      <c r="I386" s="6" t="str">
        <f>HYPERLINK("https://archive.ph/o/kCXAs/https://web-beta.archive.org/web/20130315140312/http://clopfic.heroku.com/authors/675", "darf")</f>
        <v>darf</v>
      </c>
      <c r="M386" s="7" t="s">
        <v>56</v>
      </c>
      <c r="Z386" s="7" t="s">
        <v>40</v>
      </c>
      <c r="AF386" s="7" t="s">
        <v>41</v>
      </c>
      <c r="AG386" s="9">
        <v>41045.0</v>
      </c>
      <c r="AH386" s="9">
        <v>41045.0</v>
      </c>
    </row>
    <row r="387">
      <c r="A387" s="6" t="str">
        <f>HYPERLINK("https://archive.ph/o/kCXAs/https://web-beta.archive.org/web/20130315140312/http://clopfic.heroku.com/fics/1077", "Brownies laminent ")</f>
        <v>Brownies laminent </v>
      </c>
      <c r="D387" s="7" t="s">
        <v>37</v>
      </c>
      <c r="E387" s="7" t="s">
        <v>44</v>
      </c>
      <c r="H387" s="8" t="s">
        <v>443</v>
      </c>
      <c r="I387" s="6" t="str">
        <f>HYPERLINK("https://archive.ph/o/kCXAs/https://web-beta.archive.org/web/20130315140312/http://clopfic.heroku.com/authors/220", "Dev")</f>
        <v>Dev</v>
      </c>
      <c r="Z387" s="7" t="s">
        <v>40</v>
      </c>
      <c r="AF387" s="7" t="s">
        <v>41</v>
      </c>
      <c r="AG387" s="9">
        <v>41044.0</v>
      </c>
      <c r="AH387" s="9">
        <v>41044.0</v>
      </c>
    </row>
    <row r="388">
      <c r="A388" s="6" t="str">
        <f>HYPERLINK("https://archive.ph/o/kCXAs/https://web-beta.archive.org/web/20130315140312/http://clopfic.heroku.com/fics/1076", "Canterlot Market")</f>
        <v>Canterlot Market</v>
      </c>
      <c r="E388" s="7" t="s">
        <v>44</v>
      </c>
      <c r="H388" s="8" t="s">
        <v>444</v>
      </c>
      <c r="I388" s="6" t="str">
        <f>HYPERLINK("https://archive.ph/o/kCXAs/https://web-beta.archive.org/web/20130315140312/http://clopfic.heroku.com/authors/778", "BradMayFan")</f>
        <v>BradMayFan</v>
      </c>
      <c r="N388" s="7" t="s">
        <v>47</v>
      </c>
      <c r="AE388" s="7" t="s">
        <v>43</v>
      </c>
      <c r="AG388" s="9">
        <v>41043.0</v>
      </c>
      <c r="AH388" s="9">
        <v>41043.0</v>
      </c>
    </row>
    <row r="389">
      <c r="A389" s="6" t="str">
        <f>HYPERLINK("https://archive.ph/o/kCXAs/https://web-beta.archive.org/web/20130315140312/http://clopfic.heroku.com/fics/1075", "Good Girl")</f>
        <v>Good Girl</v>
      </c>
      <c r="C389" s="7" t="s">
        <v>54</v>
      </c>
      <c r="D389" s="7" t="s">
        <v>37</v>
      </c>
      <c r="H389" s="8" t="s">
        <v>445</v>
      </c>
      <c r="I389" s="6" t="str">
        <f>HYPERLINK("https://archive.ph/o/kCXAs/https://web-beta.archive.org/web/20130315140312/http://clopfic.heroku.com/authors/253", "TAW")</f>
        <v>TAW</v>
      </c>
      <c r="Z389" s="7" t="s">
        <v>40</v>
      </c>
      <c r="AB389" s="7" t="s">
        <v>101</v>
      </c>
      <c r="AG389" s="9">
        <v>41042.0</v>
      </c>
      <c r="AH389" s="9">
        <v>41042.0</v>
      </c>
    </row>
    <row r="390">
      <c r="A390" s="6" t="str">
        <f>HYPERLINK("https://archive.ph/o/kCXAs/https://web-beta.archive.org/web/20130315140312/http://clopfic.heroku.com/fics/1074", "Whiplash")</f>
        <v>Whiplash</v>
      </c>
      <c r="E390" s="7" t="s">
        <v>44</v>
      </c>
      <c r="H390" s="8" t="s">
        <v>446</v>
      </c>
      <c r="I390" s="6" t="str">
        <f>HYPERLINK("https://archive.ph/o/kCXAs/https://web-beta.archive.org/web/20130315140312/http://clopfic.heroku.com/authors/760", "Twilightclopple")</f>
        <v>Twilightclopple</v>
      </c>
      <c r="M390" s="7" t="s">
        <v>56</v>
      </c>
      <c r="AE390" s="7" t="s">
        <v>43</v>
      </c>
      <c r="AG390" s="9">
        <v>41042.0</v>
      </c>
      <c r="AH390" s="9">
        <v>41042.0</v>
      </c>
    </row>
    <row r="391">
      <c r="A391" s="6" t="str">
        <f>HYPERLINK("https://archive.ph/o/kCXAs/https://web-beta.archive.org/web/20130315140312/http://clopfic.heroku.com/fics/1071", "A Great and Powerful Rose")</f>
        <v>A Great and Powerful Rose</v>
      </c>
      <c r="C391" s="7" t="s">
        <v>54</v>
      </c>
      <c r="E391" s="7" t="s">
        <v>44</v>
      </c>
      <c r="F391" s="7" t="s">
        <v>52</v>
      </c>
      <c r="H391" s="8" t="s">
        <v>447</v>
      </c>
      <c r="I391" s="6" t="str">
        <f>HYPERLINK("https://archive.ph/o/kCXAs/https://web-beta.archive.org/web/20130315140312/http://clopfic.heroku.com/authors/775", "Luigiman765")</f>
        <v>Luigiman765</v>
      </c>
      <c r="W391" s="7" t="s">
        <v>69</v>
      </c>
      <c r="Z391" s="7" t="s">
        <v>40</v>
      </c>
      <c r="AF391" s="7" t="s">
        <v>41</v>
      </c>
      <c r="AG391" s="9">
        <v>41041.0</v>
      </c>
      <c r="AH391" s="9">
        <v>41041.0</v>
      </c>
    </row>
    <row r="392">
      <c r="A392" s="6" t="str">
        <f>HYPERLINK("https://archive.ph/o/kCXAs/https://web-beta.archive.org/web/20130315140312/http://clopfic.heroku.com/fics/1070", "The Spiderses")</f>
        <v>The Spiderses</v>
      </c>
      <c r="D392" s="7" t="s">
        <v>37</v>
      </c>
      <c r="E392" s="7" t="s">
        <v>44</v>
      </c>
      <c r="H392" s="8" t="s">
        <v>448</v>
      </c>
      <c r="I392" s="6" t="str">
        <f>HYPERLINK("https://archive.ph/o/kCXAs/https://web-beta.archive.org/web/20130315140312/http://clopfic.heroku.com/authors/776", "Argembarger")</f>
        <v>Argembarger</v>
      </c>
      <c r="J392" s="7" t="s">
        <v>39</v>
      </c>
      <c r="R392" s="7" t="s">
        <v>66</v>
      </c>
      <c r="V392" s="7" t="s">
        <v>71</v>
      </c>
      <c r="AG392" s="9">
        <v>41041.0</v>
      </c>
      <c r="AH392" s="9">
        <v>41041.0</v>
      </c>
    </row>
    <row r="393">
      <c r="A393" s="6" t="str">
        <f>HYPERLINK("https://archive.ph/o/kCXAs/https://web-beta.archive.org/web/20130315140312/http://clopfic.heroku.com/fics/1069", "Chrysalis' Nightmare")</f>
        <v>Chrysalis' Nightmare</v>
      </c>
      <c r="D393" s="7" t="s">
        <v>37</v>
      </c>
      <c r="H393" s="8" t="s">
        <v>449</v>
      </c>
      <c r="I393" s="6" t="str">
        <f>HYPERLINK("https://archive.ph/o/kCXAs/https://web-beta.archive.org/web/20130315140312/http://clopfic.heroku.com/authors/608", "SwiperTheFox")</f>
        <v>SwiperTheFox</v>
      </c>
      <c r="Q393" s="7" t="s">
        <v>65</v>
      </c>
      <c r="Z393" s="7" t="s">
        <v>40</v>
      </c>
      <c r="AE393" s="7" t="s">
        <v>43</v>
      </c>
      <c r="AG393" s="9">
        <v>41041.0</v>
      </c>
      <c r="AH393" s="9">
        <v>41041.0</v>
      </c>
    </row>
    <row r="394">
      <c r="A394" s="6" t="str">
        <f>HYPERLINK("https://archive.ph/o/kCXAs/https://web-beta.archive.org/web/20130315140312/http://clopfic.heroku.com/fics/1068", "Sometimes Everything Just Isn't Enough")</f>
        <v>Sometimes Everything Just Isn't Enough</v>
      </c>
      <c r="C394" s="7" t="s">
        <v>54</v>
      </c>
      <c r="E394" s="7" t="s">
        <v>44</v>
      </c>
      <c r="H394" s="3"/>
      <c r="I394" s="6" t="str">
        <f>HYPERLINK("https://archive.ph/o/kCXAs/https://web-beta.archive.org/web/20130315140312/http://clopfic.heroku.com/authors/773", "InuyashaGirl1025")</f>
        <v>InuyashaGirl1025</v>
      </c>
      <c r="L394" s="7" t="s">
        <v>62</v>
      </c>
      <c r="M394" s="7" t="s">
        <v>56</v>
      </c>
      <c r="AG394" s="9">
        <v>41041.0</v>
      </c>
      <c r="AH394" s="9">
        <v>41041.0</v>
      </c>
    </row>
    <row r="395">
      <c r="A395" s="6" t="str">
        <f>HYPERLINK("https://archive.ph/o/kCXAs/https://web-beta.archive.org/web/20130315140312/http://clopfic.heroku.com/fics/1067", "Big Mac's Crazy Daisy Day")</f>
        <v>Big Mac's Crazy Daisy Day</v>
      </c>
      <c r="D395" s="7" t="s">
        <v>37</v>
      </c>
      <c r="H395" s="8" t="s">
        <v>450</v>
      </c>
      <c r="I395" s="6" t="str">
        <f>HYPERLINK("https://archive.ph/o/kCXAs/https://web-beta.archive.org/web/20130315140312/http://clopfic.heroku.com/authors/247", "One Terrible Writer")</f>
        <v>One Terrible Writer</v>
      </c>
      <c r="V395" s="7" t="s">
        <v>71</v>
      </c>
      <c r="AE395" s="7" t="s">
        <v>43</v>
      </c>
      <c r="AG395" s="9">
        <v>41041.0</v>
      </c>
      <c r="AH395" s="9">
        <v>41041.0</v>
      </c>
    </row>
    <row r="396">
      <c r="A396" s="6" t="str">
        <f>HYPERLINK("https://archive.ph/o/kCXAs/https://web-beta.archive.org/web/20130315140312/http://clopfic.heroku.com/fics/1066", "Spike's Play Time")</f>
        <v>Spike's Play Time</v>
      </c>
      <c r="E396" s="7" t="s">
        <v>44</v>
      </c>
      <c r="H396" s="8" t="s">
        <v>451</v>
      </c>
      <c r="I396" s="6" t="str">
        <f>HYPERLINK("https://archive.ph/o/kCXAs/https://web-beta.archive.org/web/20130315140312/http://clopfic.heroku.com/authors/772", "AvastYourMagic")</f>
        <v>AvastYourMagic</v>
      </c>
      <c r="R396" s="7" t="s">
        <v>66</v>
      </c>
      <c r="S396" s="7" t="s">
        <v>68</v>
      </c>
      <c r="T396" s="7" t="s">
        <v>59</v>
      </c>
      <c r="U396" s="7" t="s">
        <v>60</v>
      </c>
      <c r="AG396" s="9">
        <v>41041.0</v>
      </c>
      <c r="AH396" s="9">
        <v>41041.0</v>
      </c>
    </row>
    <row r="397">
      <c r="A397" s="6" t="str">
        <f>HYPERLINK("https://archive.ph/o/kCXAs/https://web-beta.archive.org/web/20130315140312/http://clopfic.heroku.com/fics/1064", "In Potio Veritas")</f>
        <v>In Potio Veritas</v>
      </c>
      <c r="E397" s="7" t="s">
        <v>44</v>
      </c>
      <c r="H397" s="8" t="s">
        <v>452</v>
      </c>
      <c r="I397" s="6" t="str">
        <f>HYPERLINK("https://archive.ph/o/kCXAs/https://web-beta.archive.org/web/20130315140312/http://clopfic.heroku.com/authors/770", "Thimblefull")</f>
        <v>Thimblefull</v>
      </c>
      <c r="N397" s="7" t="s">
        <v>47</v>
      </c>
      <c r="O397" s="7" t="s">
        <v>51</v>
      </c>
      <c r="AG397" s="9">
        <v>41040.0</v>
      </c>
      <c r="AH397" s="9">
        <v>41040.0</v>
      </c>
    </row>
    <row r="398">
      <c r="A398" s="6" t="str">
        <f>HYPERLINK("https://archive.ph/o/kCXAs/https://web-beta.archive.org/web/20130315140312/http://clopfic.heroku.com/fics/1063", "Transcend - The Lost Scenes")</f>
        <v>Transcend - The Lost Scenes</v>
      </c>
      <c r="E398" s="7" t="s">
        <v>44</v>
      </c>
      <c r="H398" s="8" t="s">
        <v>453</v>
      </c>
      <c r="I398" s="6" t="str">
        <f>HYPERLINK("https://archive.ph/o/kCXAs/https://web-beta.archive.org/web/20130315140312/http://clopfic.heroku.com/authors/681", "Anonymous Pegasus")</f>
        <v>Anonymous Pegasus</v>
      </c>
      <c r="AF398" s="7" t="s">
        <v>41</v>
      </c>
      <c r="AG398" s="9">
        <v>41040.0</v>
      </c>
      <c r="AH398" s="9">
        <v>41040.0</v>
      </c>
    </row>
    <row r="399">
      <c r="A399" s="6" t="str">
        <f>HYPERLINK("https://archive.ph/o/kCXAs/https://web-beta.archive.org/web/20130315140312/http://clopfic.heroku.com/fics/1062", "Eggheads")</f>
        <v>Eggheads</v>
      </c>
      <c r="E399" s="7" t="s">
        <v>44</v>
      </c>
      <c r="H399" s="8" t="s">
        <v>454</v>
      </c>
      <c r="I399" s="6" t="str">
        <f t="shared" ref="I399:I400" si="13">HYPERLINK("https://archive.ph/o/kCXAs/https://web-beta.archive.org/web/20130315140312/http://clopfic.heroku.com/authors/760", "Twilightclopple")</f>
        <v>Twilightclopple</v>
      </c>
      <c r="J399" s="7" t="s">
        <v>39</v>
      </c>
      <c r="M399" s="7" t="s">
        <v>56</v>
      </c>
      <c r="AG399" s="9">
        <v>41040.0</v>
      </c>
      <c r="AH399" s="9">
        <v>41040.0</v>
      </c>
    </row>
    <row r="400">
      <c r="A400" s="6" t="str">
        <f>HYPERLINK("https://archive.ph/o/kCXAs/https://web-beta.archive.org/web/20130315140312/http://clopfic.heroku.com/fics/1061", "Autumn Leaves")</f>
        <v>Autumn Leaves</v>
      </c>
      <c r="E400" s="7" t="s">
        <v>44</v>
      </c>
      <c r="H400" s="8" t="s">
        <v>455</v>
      </c>
      <c r="I400" s="6" t="str">
        <f t="shared" si="13"/>
        <v>Twilightclopple</v>
      </c>
      <c r="L400" s="7" t="s">
        <v>62</v>
      </c>
      <c r="M400" s="7" t="s">
        <v>56</v>
      </c>
      <c r="AG400" s="9">
        <v>41040.0</v>
      </c>
      <c r="AH400" s="9">
        <v>41040.0</v>
      </c>
    </row>
    <row r="401">
      <c r="A401" s="6" t="str">
        <f>HYPERLINK("https://archive.ph/o/kCXAs/https://web-beta.archive.org/web/20130315140312/http://clopfic.heroku.com/fics/1060", "Out in the Cold")</f>
        <v>Out in the Cold</v>
      </c>
      <c r="E401" s="7" t="s">
        <v>44</v>
      </c>
      <c r="H401" s="8" t="s">
        <v>456</v>
      </c>
      <c r="I401" s="6" t="str">
        <f>HYPERLINK("https://archive.ph/o/kCXAs/https://web-beta.archive.org/web/20130315140312/http://clopfic.heroku.com/authors/355", "Liquid Rainbows")</f>
        <v>Liquid Rainbows</v>
      </c>
      <c r="Y401" s="7" t="s">
        <v>184</v>
      </c>
      <c r="AF401" s="7" t="s">
        <v>41</v>
      </c>
      <c r="AG401" s="9">
        <v>41039.0</v>
      </c>
      <c r="AH401" s="9">
        <v>41039.0</v>
      </c>
    </row>
    <row r="402">
      <c r="A402" s="6" t="str">
        <f>HYPERLINK("https://archive.ph/o/kCXAs/https://web-beta.archive.org/web/20130315140312/http://clopfic.heroku.com/fics/1059", "The Bakery")</f>
        <v>The Bakery</v>
      </c>
      <c r="E402" s="7" t="s">
        <v>44</v>
      </c>
      <c r="H402" s="8" t="s">
        <v>457</v>
      </c>
      <c r="I402" s="6" t="str">
        <f>HYPERLINK("https://archive.ph/o/kCXAs/https://web-beta.archive.org/web/20130315140312/http://clopfic.heroku.com/authors/760", "Twilightclopple")</f>
        <v>Twilightclopple</v>
      </c>
      <c r="M402" s="7" t="s">
        <v>56</v>
      </c>
      <c r="Z402" s="7" t="s">
        <v>40</v>
      </c>
      <c r="AE402" s="7" t="s">
        <v>43</v>
      </c>
      <c r="AG402" s="9">
        <v>41039.0</v>
      </c>
      <c r="AH402" s="9">
        <v>41039.0</v>
      </c>
    </row>
    <row r="403">
      <c r="A403" s="6" t="str">
        <f>HYPERLINK("https://archive.ph/o/kCXAs/https://web-beta.archive.org/web/20130315140312/http://clopfic.heroku.com/fics/1058", "You Will Never Share an Intimate Moment with Rainbow Dash")</f>
        <v>You Will Never Share an Intimate Moment with Rainbow Dash</v>
      </c>
      <c r="C403" s="7" t="s">
        <v>54</v>
      </c>
      <c r="E403" s="7" t="s">
        <v>44</v>
      </c>
      <c r="H403" s="8" t="s">
        <v>458</v>
      </c>
      <c r="I403" s="6" t="str">
        <f>HYPERLINK("https://archive.ph/o/kCXAs/https://web-beta.archive.org/web/20130315140312/http://clopfic.heroku.com/authors/584", "Cloperella")</f>
        <v>Cloperella</v>
      </c>
      <c r="M403" s="7" t="s">
        <v>56</v>
      </c>
      <c r="Z403" s="7" t="s">
        <v>40</v>
      </c>
      <c r="AF403" s="7" t="s">
        <v>41</v>
      </c>
      <c r="AG403" s="9">
        <v>41039.0</v>
      </c>
      <c r="AH403" s="9">
        <v>41039.0</v>
      </c>
    </row>
    <row r="404">
      <c r="A404" s="6" t="str">
        <f>HYPERLINK("https://archive.ph/o/kCXAs/https://web-beta.archive.org/web/20130315140312/http://clopfic.heroku.com/fics/1057", "Domesticating These Human Boys, Falling At My Hooves Like Toys")</f>
        <v>Domesticating These Human Boys, Falling At My Hooves Like Toys</v>
      </c>
      <c r="C404" s="7" t="s">
        <v>54</v>
      </c>
      <c r="E404" s="7" t="s">
        <v>44</v>
      </c>
      <c r="H404" s="8" t="s">
        <v>459</v>
      </c>
      <c r="I404" s="6" t="str">
        <f>HYPERLINK("https://archive.ph/o/kCXAs/https://web-beta.archive.org/web/20130315140312/http://clopfic.heroku.com/authors/608", "SwiperTheFox")</f>
        <v>SwiperTheFox</v>
      </c>
      <c r="X404" s="7" t="s">
        <v>107</v>
      </c>
      <c r="Z404" s="7" t="s">
        <v>40</v>
      </c>
      <c r="AF404" s="7" t="s">
        <v>41</v>
      </c>
      <c r="AG404" s="9">
        <v>41039.0</v>
      </c>
      <c r="AH404" s="9">
        <v>41039.0</v>
      </c>
    </row>
    <row r="405">
      <c r="A405" s="6" t="str">
        <f>HYPERLINK("https://archive.ph/o/kCXAs/https://web-beta.archive.org/web/20130315140312/http://clopfic.heroku.com/fics/1056", "What a Twist!")</f>
        <v>What a Twist!</v>
      </c>
      <c r="D405" s="7" t="s">
        <v>37</v>
      </c>
      <c r="E405" s="7" t="s">
        <v>44</v>
      </c>
      <c r="H405" s="8" t="s">
        <v>460</v>
      </c>
      <c r="I405" s="6" t="str">
        <f>HYPERLINK("https://archive.ph/o/kCXAs/https://web-beta.archive.org/web/20130315140312/http://clopfic.heroku.com/authors/356", "Metals")</f>
        <v>Metals</v>
      </c>
      <c r="S405" s="7" t="s">
        <v>68</v>
      </c>
      <c r="V405" s="7" t="s">
        <v>71</v>
      </c>
      <c r="X405" s="7" t="s">
        <v>107</v>
      </c>
      <c r="AE405" s="7" t="s">
        <v>43</v>
      </c>
      <c r="AG405" s="9">
        <v>41039.0</v>
      </c>
      <c r="AH405" s="9">
        <v>41039.0</v>
      </c>
    </row>
    <row r="406">
      <c r="A406" s="6" t="str">
        <f>HYPERLINK("https://archive.ph/o/kCXAs/https://web-beta.archive.org/web/20130315140312/http://clopfic.heroku.com/fics/1054", "Eek! It's a Taboo!")</f>
        <v>Eek! It's a Taboo!</v>
      </c>
      <c r="E406" s="7" t="s">
        <v>44</v>
      </c>
      <c r="H406" s="8" t="s">
        <v>461</v>
      </c>
      <c r="I406" s="6" t="str">
        <f>HYPERLINK("https://archive.ph/o/kCXAs/https://web-beta.archive.org/web/20130315140312/http://clopfic.heroku.com/authors/766", "Twystron500")</f>
        <v>Twystron500</v>
      </c>
      <c r="J406" s="7" t="s">
        <v>39</v>
      </c>
      <c r="Z406" s="7" t="s">
        <v>40</v>
      </c>
      <c r="AE406" s="7" t="s">
        <v>43</v>
      </c>
      <c r="AG406" s="9">
        <v>41038.0</v>
      </c>
      <c r="AH406" s="9">
        <v>41038.0</v>
      </c>
    </row>
    <row r="407">
      <c r="A407" s="6" t="str">
        <f>HYPERLINK("https://archive.ph/o/kCXAs/https://web-beta.archive.org/web/20130315140312/http://clopfic.heroku.com/fics/921", "Are you ready to, Rumble?")</f>
        <v>Are you ready to, Rumble?</v>
      </c>
      <c r="D407" s="7" t="s">
        <v>37</v>
      </c>
      <c r="E407" s="7" t="s">
        <v>44</v>
      </c>
      <c r="H407" s="8" t="s">
        <v>462</v>
      </c>
      <c r="I407" s="6" t="str">
        <f>HYPERLINK("https://archive.ph/o/kCXAs/https://web-beta.archive.org/web/20130315140312/http://clopfic.heroku.com/authors/669", "ePonymous")</f>
        <v>ePonymous</v>
      </c>
      <c r="Z407" s="7" t="s">
        <v>40</v>
      </c>
      <c r="AE407" s="7" t="s">
        <v>43</v>
      </c>
      <c r="AG407" s="9">
        <v>41000.0</v>
      </c>
      <c r="AH407" s="9">
        <v>41038.0</v>
      </c>
    </row>
    <row r="408">
      <c r="A408" s="6" t="str">
        <f>HYPERLINK("https://archive.ph/o/kCXAs/https://web-beta.archive.org/web/20130315140312/http://clopfic.heroku.com/fics/861", "The Scootaloo Diaries")</f>
        <v>The Scootaloo Diaries</v>
      </c>
      <c r="E408" s="7" t="s">
        <v>44</v>
      </c>
      <c r="H408" s="8" t="s">
        <v>463</v>
      </c>
      <c r="I408" s="6" t="str">
        <f>HYPERLINK("https://archive.ph/o/kCXAs/https://web-beta.archive.org/web/20130315140312/http://clopfic.heroku.com/authors/553", "ImJustAnotherBrony")</f>
        <v>ImJustAnotherBrony</v>
      </c>
      <c r="J408" s="7" t="s">
        <v>39</v>
      </c>
      <c r="M408" s="7" t="s">
        <v>56</v>
      </c>
      <c r="S408" s="7" t="s">
        <v>68</v>
      </c>
      <c r="T408" s="7" t="s">
        <v>59</v>
      </c>
      <c r="U408" s="7" t="s">
        <v>60</v>
      </c>
      <c r="Z408" s="7" t="s">
        <v>40</v>
      </c>
      <c r="AD408" s="7" t="s">
        <v>111</v>
      </c>
      <c r="AE408" s="7" t="s">
        <v>43</v>
      </c>
      <c r="AG408" s="9">
        <v>40976.0</v>
      </c>
      <c r="AH408" s="9">
        <v>41038.0</v>
      </c>
    </row>
    <row r="409">
      <c r="A409" s="6" t="str">
        <f>HYPERLINK("https://archive.ph/o/kCXAs/https://web-beta.archive.org/web/20130315140312/http://clopfic.heroku.com/fics/1053", "Talk About Self Service")</f>
        <v>Talk About Self Service</v>
      </c>
      <c r="H409" s="8" t="s">
        <v>464</v>
      </c>
      <c r="I409" s="6" t="str">
        <f>HYPERLINK("https://archive.ph/o/kCXAs/https://web-beta.archive.org/web/20130315140312/http://clopfic.heroku.com/authors/763", "Rushalike")</f>
        <v>Rushalike</v>
      </c>
      <c r="AF409" s="7" t="s">
        <v>41</v>
      </c>
      <c r="AG409" s="9">
        <v>41037.0</v>
      </c>
      <c r="AH409" s="9">
        <v>41037.0</v>
      </c>
    </row>
    <row r="410">
      <c r="A410" s="6" t="str">
        <f>HYPERLINK("https://archive.ph/o/kCXAs/https://web-beta.archive.org/web/20130315140312/http://clopfic.heroku.com/fics/786", "Snapshots from the Ruins of My Mind")</f>
        <v>Snapshots from the Ruins of My Mind</v>
      </c>
      <c r="C410" s="7" t="s">
        <v>54</v>
      </c>
      <c r="E410" s="7" t="s">
        <v>44</v>
      </c>
      <c r="H410" s="8" t="s">
        <v>465</v>
      </c>
      <c r="I410" s="6" t="str">
        <f>HYPERLINK("https://archive.ph/o/kCXAs/https://web-beta.archive.org/web/20130315140312/http://clopfic.heroku.com/authors/80", "Hotsauce")</f>
        <v>Hotsauce</v>
      </c>
      <c r="Q410" s="7" t="s">
        <v>65</v>
      </c>
      <c r="Z410" s="7" t="s">
        <v>40</v>
      </c>
      <c r="AF410" s="7" t="s">
        <v>41</v>
      </c>
      <c r="AG410" s="9">
        <v>40947.0</v>
      </c>
      <c r="AH410" s="9">
        <v>41037.0</v>
      </c>
    </row>
    <row r="411">
      <c r="A411" s="6" t="str">
        <f>HYPERLINK("https://archive.ph/o/kCXAs/https://web-beta.archive.org/web/20130315140312/http://clopfic.heroku.com/fics/1051", "Smile!")</f>
        <v>Smile!</v>
      </c>
      <c r="C411" s="7" t="s">
        <v>54</v>
      </c>
      <c r="E411" s="7" t="s">
        <v>44</v>
      </c>
      <c r="H411" s="8" t="s">
        <v>466</v>
      </c>
      <c r="I411" s="6" t="str">
        <f>HYPERLINK("https://archive.ph/o/kCXAs/https://web-beta.archive.org/web/20130315140312/http://clopfic.heroku.com/authors/253", "TAW")</f>
        <v>TAW</v>
      </c>
      <c r="K411" s="7" t="s">
        <v>49</v>
      </c>
      <c r="Z411" s="7" t="s">
        <v>40</v>
      </c>
      <c r="AF411" s="7" t="s">
        <v>41</v>
      </c>
      <c r="AG411" s="9">
        <v>41037.0</v>
      </c>
      <c r="AH411" s="9">
        <v>41037.0</v>
      </c>
    </row>
    <row r="412">
      <c r="A412" s="6" t="str">
        <f>HYPERLINK("https://archive.ph/o/kCXAs/https://web-beta.archive.org/web/20130315140312/http://clopfic.heroku.com/fics/1050", "I Didn't Want Your 'Love'... Twilight")</f>
        <v>I Didn't Want Your 'Love'... Twilight</v>
      </c>
      <c r="C412" s="7" t="s">
        <v>54</v>
      </c>
      <c r="H412" s="8" t="s">
        <v>467</v>
      </c>
      <c r="I412" s="6" t="str">
        <f>HYPERLINK("https://archive.ph/o/kCXAs/https://web-beta.archive.org/web/20130315140312/http://clopfic.heroku.com/authors/608", "SwiperTheFox")</f>
        <v>SwiperTheFox</v>
      </c>
      <c r="J412" s="7" t="s">
        <v>39</v>
      </c>
      <c r="Z412" s="7" t="s">
        <v>40</v>
      </c>
      <c r="AF412" s="7" t="s">
        <v>41</v>
      </c>
      <c r="AG412" s="9">
        <v>41037.0</v>
      </c>
      <c r="AH412" s="9">
        <v>41037.0</v>
      </c>
    </row>
    <row r="413">
      <c r="A413" s="6" t="str">
        <f>HYPERLINK("https://archive.ph/o/kCXAs/https://web-beta.archive.org/web/20130315140312/http://clopfic.heroku.com/fics/1049", "Spurs and Saddles")</f>
        <v>Spurs and Saddles</v>
      </c>
      <c r="E413" s="7" t="s">
        <v>44</v>
      </c>
      <c r="H413" s="8" t="s">
        <v>468</v>
      </c>
      <c r="I413" s="6" t="str">
        <f>HYPERLINK("https://archive.ph/o/kCXAs/https://web-beta.archive.org/web/20130315140312/http://clopfic.heroku.com/authors/762", "BuckyTheRed")</f>
        <v>BuckyTheRed</v>
      </c>
      <c r="L413" s="7" t="s">
        <v>62</v>
      </c>
      <c r="Z413" s="7" t="s">
        <v>40</v>
      </c>
      <c r="AF413" s="7" t="s">
        <v>41</v>
      </c>
      <c r="AG413" s="9">
        <v>41037.0</v>
      </c>
      <c r="AH413" s="9">
        <v>41037.0</v>
      </c>
    </row>
    <row r="414">
      <c r="A414" s="6" t="str">
        <f>HYPERLINK("https://archive.ph/o/kCXAs/https://web-beta.archive.org/web/20130315140312/http://clopfic.heroku.com/fics/1048", "Rarity's New Member")</f>
        <v>Rarity's New Member</v>
      </c>
      <c r="E414" s="7" t="s">
        <v>44</v>
      </c>
      <c r="H414" s="8" t="s">
        <v>469</v>
      </c>
      <c r="I414" s="6" t="str">
        <f>HYPERLINK("https://archive.ph/o/kCXAs/https://web-beta.archive.org/web/20130315140312/http://clopfic.heroku.com/authors/743", "TheFabulousRedheart")</f>
        <v>TheFabulousRedheart</v>
      </c>
      <c r="J414" s="7" t="s">
        <v>39</v>
      </c>
      <c r="N414" s="7" t="s">
        <v>47</v>
      </c>
      <c r="AG414" s="9">
        <v>41037.0</v>
      </c>
      <c r="AH414" s="9">
        <v>41037.0</v>
      </c>
    </row>
    <row r="415">
      <c r="A415" s="6" t="str">
        <f>HYPERLINK("https://archive.ph/o/kCXAs/https://web-beta.archive.org/web/20130315140312/http://clopfic.heroku.com/fics/1047", "Awesomesauce")</f>
        <v>Awesomesauce</v>
      </c>
      <c r="E415" s="7" t="s">
        <v>44</v>
      </c>
      <c r="H415" s="8" t="s">
        <v>470</v>
      </c>
      <c r="I415" s="6" t="str">
        <f>HYPERLINK("https://archive.ph/o/kCXAs/https://web-beta.archive.org/web/20130315140312/http://clopfic.heroku.com/authors/761", "SuaveJelly")</f>
        <v>SuaveJelly</v>
      </c>
      <c r="M415" s="7" t="s">
        <v>56</v>
      </c>
      <c r="Z415" s="7" t="s">
        <v>40</v>
      </c>
      <c r="AF415" s="7" t="s">
        <v>41</v>
      </c>
      <c r="AG415" s="9">
        <v>41036.0</v>
      </c>
      <c r="AH415" s="9">
        <v>41036.0</v>
      </c>
    </row>
    <row r="416">
      <c r="A416" s="6" t="str">
        <f>HYPERLINK("https://archive.ph/o/kCXAs/https://web-beta.archive.org/web/20130315140312/http://clopfic.heroku.com/fics/886", "Who Rules?: The Wager")</f>
        <v>Who Rules?: The Wager</v>
      </c>
      <c r="D416" s="7" t="s">
        <v>37</v>
      </c>
      <c r="H416" s="8" t="s">
        <v>471</v>
      </c>
      <c r="I416" s="6" t="str">
        <f>HYPERLINK("https://archive.ph/o/kCXAs/https://web-beta.archive.org/web/20130315140312/http://clopfic.heroku.com/authors/634", "Nom deCheval")</f>
        <v>Nom deCheval</v>
      </c>
      <c r="J416" s="7" t="s">
        <v>39</v>
      </c>
      <c r="K416" s="7" t="s">
        <v>49</v>
      </c>
      <c r="N416" s="7" t="s">
        <v>47</v>
      </c>
      <c r="P416" s="7" t="s">
        <v>64</v>
      </c>
      <c r="Q416" s="7" t="s">
        <v>65</v>
      </c>
      <c r="W416" s="7" t="s">
        <v>69</v>
      </c>
      <c r="AG416" s="9">
        <v>40984.0</v>
      </c>
      <c r="AH416" s="9">
        <v>41036.0</v>
      </c>
    </row>
    <row r="417">
      <c r="A417" s="6" t="str">
        <f>HYPERLINK("https://archive.ph/o/kCXAs/https://web-beta.archive.org/web/20130315140312/http://clopfic.heroku.com/fics/1046", "Ten Pounds of Mouthwash and Fetus")</f>
        <v>Ten Pounds of Mouthwash and Fetus</v>
      </c>
      <c r="D417" s="7" t="s">
        <v>37</v>
      </c>
      <c r="H417" s="8" t="s">
        <v>472</v>
      </c>
      <c r="I417" s="6" t="str">
        <f>HYPERLINK("https://archive.ph/o/kCXAs/https://web-beta.archive.org/web/20130315140312/http://clopfic.heroku.com/authors/562", "WhatTheFap")</f>
        <v>WhatTheFap</v>
      </c>
      <c r="L417" s="7" t="s">
        <v>62</v>
      </c>
      <c r="S417" s="7" t="s">
        <v>68</v>
      </c>
      <c r="T417" s="7" t="s">
        <v>59</v>
      </c>
      <c r="U417" s="7" t="s">
        <v>60</v>
      </c>
      <c r="AG417" s="9">
        <v>41036.0</v>
      </c>
      <c r="AH417" s="9">
        <v>41036.0</v>
      </c>
    </row>
    <row r="418">
      <c r="A418" s="6" t="str">
        <f>HYPERLINK("https://archive.ph/o/kCXAs/https://web-beta.archive.org/web/20130315140312/http://clopfic.heroku.com/fics/1045", "White Room Story")</f>
        <v>White Room Story</v>
      </c>
      <c r="C418" s="7" t="s">
        <v>54</v>
      </c>
      <c r="E418" s="7" t="s">
        <v>44</v>
      </c>
      <c r="H418" s="8" t="s">
        <v>473</v>
      </c>
      <c r="I418" s="6" t="str">
        <f>HYPERLINK("https://archive.ph/o/kCXAs/https://web-beta.archive.org/web/20130315140312/http://clopfic.heroku.com/authors/180", "Anonymous")</f>
        <v>Anonymous</v>
      </c>
      <c r="P418" s="7" t="s">
        <v>64</v>
      </c>
      <c r="Q418" s="7" t="s">
        <v>65</v>
      </c>
      <c r="AF418" s="7" t="s">
        <v>41</v>
      </c>
      <c r="AG418" s="9">
        <v>41035.0</v>
      </c>
      <c r="AH418" s="9">
        <v>41035.0</v>
      </c>
    </row>
    <row r="419">
      <c r="A419" s="6" t="str">
        <f>HYPERLINK("https://archive.ph/o/kCXAs/https://web-beta.archive.org/web/20130315140312/http://clopfic.heroku.com/fics/1044", "Truth or Dare")</f>
        <v>Truth or Dare</v>
      </c>
      <c r="E419" s="7" t="s">
        <v>44</v>
      </c>
      <c r="H419" s="8" t="s">
        <v>474</v>
      </c>
      <c r="I419" s="6" t="str">
        <f>HYPERLINK("https://archive.ph/o/kCXAs/https://web-beta.archive.org/web/20130315140312/http://clopfic.heroku.com/authors/760", "Twilightclopple")</f>
        <v>Twilightclopple</v>
      </c>
      <c r="J419" s="7" t="s">
        <v>39</v>
      </c>
      <c r="K419" s="7" t="s">
        <v>49</v>
      </c>
      <c r="L419" s="7" t="s">
        <v>62</v>
      </c>
      <c r="M419" s="7" t="s">
        <v>56</v>
      </c>
      <c r="N419" s="7" t="s">
        <v>47</v>
      </c>
      <c r="O419" s="7" t="s">
        <v>51</v>
      </c>
      <c r="AG419" s="9">
        <v>41035.0</v>
      </c>
      <c r="AH419" s="9">
        <v>41035.0</v>
      </c>
    </row>
    <row r="420">
      <c r="A420" s="6" t="str">
        <f>HYPERLINK("https://archive.ph/o/kCXAs/https://web-beta.archive.org/web/20130315140312/http://clopfic.heroku.com/fics/1043", "Help me, nurse! I need 50 ccs of you! ")</f>
        <v>Help me, nurse! I need 50 ccs of you! </v>
      </c>
      <c r="C420" s="7" t="s">
        <v>54</v>
      </c>
      <c r="E420" s="7" t="s">
        <v>44</v>
      </c>
      <c r="H420" s="8" t="s">
        <v>475</v>
      </c>
      <c r="I420" s="6" t="str">
        <f>HYPERLINK("https://archive.ph/o/kCXAs/https://web-beta.archive.org/web/20130315140312/http://clopfic.heroku.com/authors/608", "SwiperTheFox")</f>
        <v>SwiperTheFox</v>
      </c>
      <c r="Z420" s="7" t="s">
        <v>40</v>
      </c>
      <c r="AE420" s="7" t="s">
        <v>43</v>
      </c>
      <c r="AF420" s="7" t="s">
        <v>41</v>
      </c>
      <c r="AG420" s="9">
        <v>41035.0</v>
      </c>
      <c r="AH420" s="9">
        <v>41035.0</v>
      </c>
    </row>
    <row r="421">
      <c r="A421" s="6" t="str">
        <f>HYPERLINK("https://archive.ph/o/kCXAs/https://web-beta.archive.org/web/20130315140312/http://clopfic.heroku.com/fics/1041", "MIDNIGHT RAINBOWS")</f>
        <v>MIDNIGHT RAINBOWS</v>
      </c>
      <c r="E421" s="7" t="s">
        <v>44</v>
      </c>
      <c r="H421" s="8" t="s">
        <v>476</v>
      </c>
      <c r="I421" s="6" t="str">
        <f>HYPERLINK("https://archive.ph/o/kCXAs/https://web-beta.archive.org/web/20130315140312/http://clopfic.heroku.com/authors/758", "Geradex Acondari")</f>
        <v>Geradex Acondari</v>
      </c>
      <c r="M421" s="7" t="s">
        <v>56</v>
      </c>
      <c r="AF421" s="7" t="s">
        <v>41</v>
      </c>
      <c r="AG421" s="9">
        <v>41035.0</v>
      </c>
      <c r="AH421" s="9">
        <v>41035.0</v>
      </c>
    </row>
    <row r="422">
      <c r="A422" s="6" t="str">
        <f>HYPERLINK("https://archive.ph/o/kCXAs/https://web-beta.archive.org/web/20130315140312/http://clopfic.heroku.com/fics/1040", "My Little WereRarity")</f>
        <v>My Little WereRarity</v>
      </c>
      <c r="D422" s="7" t="s">
        <v>37</v>
      </c>
      <c r="E422" s="7" t="s">
        <v>44</v>
      </c>
      <c r="G422" s="7" t="s">
        <v>75</v>
      </c>
      <c r="H422" s="8" t="s">
        <v>477</v>
      </c>
      <c r="I422" s="6" t="str">
        <f>HYPERLINK("https://archive.ph/o/kCXAs/https://web-beta.archive.org/web/20130315140312/http://clopfic.heroku.com/authors/608", "SwiperTheFox")</f>
        <v>SwiperTheFox</v>
      </c>
      <c r="N422" s="7" t="s">
        <v>47</v>
      </c>
      <c r="V422" s="7" t="s">
        <v>71</v>
      </c>
      <c r="AG422" s="9">
        <v>41034.0</v>
      </c>
      <c r="AH422" s="9">
        <v>41034.0</v>
      </c>
    </row>
    <row r="423">
      <c r="A423" s="6" t="str">
        <f>HYPERLINK("https://archive.ph/o/kCXAs/https://web-beta.archive.org/web/20130315140312/http://clopfic.heroku.com/fics/680", "Rainbow Dash &amp; Pinkie Pie: Captor &amp; Captive")</f>
        <v>Rainbow Dash &amp; Pinkie Pie: Captor &amp; Captive</v>
      </c>
      <c r="D423" s="7" t="s">
        <v>37</v>
      </c>
      <c r="E423" s="7" t="s">
        <v>44</v>
      </c>
      <c r="F423" s="7" t="s">
        <v>52</v>
      </c>
      <c r="H423" s="8" t="s">
        <v>478</v>
      </c>
      <c r="I423" s="6" t="str">
        <f>HYPERLINK("https://archive.ph/o/kCXAs/https://web-beta.archive.org/web/20130315140312/http://clopfic.heroku.com/authors/578", "opticblast")</f>
        <v>opticblast</v>
      </c>
      <c r="J423" s="7" t="s">
        <v>39</v>
      </c>
      <c r="K423" s="7" t="s">
        <v>49</v>
      </c>
      <c r="L423" s="7" t="s">
        <v>62</v>
      </c>
      <c r="M423" s="7" t="s">
        <v>56</v>
      </c>
      <c r="N423" s="7" t="s">
        <v>47</v>
      </c>
      <c r="O423" s="7" t="s">
        <v>51</v>
      </c>
      <c r="P423" s="7" t="s">
        <v>64</v>
      </c>
      <c r="Z423" s="7" t="s">
        <v>40</v>
      </c>
      <c r="AE423" s="7" t="s">
        <v>43</v>
      </c>
      <c r="AG423" s="9">
        <v>40912.0</v>
      </c>
      <c r="AH423" s="9">
        <v>41034.0</v>
      </c>
    </row>
    <row r="424">
      <c r="A424" s="6" t="str">
        <f>HYPERLINK("https://archive.ph/o/kCXAs/https://web-beta.archive.org/web/20130315140312/http://clopfic.heroku.com/fics/1034", "Applekush")</f>
        <v>Applekush</v>
      </c>
      <c r="G424" s="7" t="s">
        <v>75</v>
      </c>
      <c r="H424" s="8" t="s">
        <v>479</v>
      </c>
      <c r="I424" s="6" t="str">
        <f>HYPERLINK("https://archive.ph/o/kCXAs/https://web-beta.archive.org/web/20130315140312/http://clopfic.heroku.com/authors/757", ":wumpscut:")</f>
        <v>:wumpscut:</v>
      </c>
      <c r="L424" s="7" t="s">
        <v>62</v>
      </c>
      <c r="S424" s="7" t="s">
        <v>68</v>
      </c>
      <c r="U424" s="7" t="s">
        <v>60</v>
      </c>
      <c r="AG424" s="9">
        <v>41031.0</v>
      </c>
      <c r="AH424" s="9">
        <v>41034.0</v>
      </c>
    </row>
    <row r="425">
      <c r="A425" s="6" t="str">
        <f>HYPERLINK("https://archive.ph/o/kCXAs/https://web-beta.archive.org/web/20130315140312/http://clopfic.heroku.com/fics/1039", "Tail Lickin' Good")</f>
        <v>Tail Lickin' Good</v>
      </c>
      <c r="E425" s="7" t="s">
        <v>44</v>
      </c>
      <c r="H425" s="8" t="s">
        <v>480</v>
      </c>
      <c r="I425" s="6" t="str">
        <f>HYPERLINK("https://archive.ph/o/kCXAs/https://web-beta.archive.org/web/20130315140312/http://clopfic.heroku.com/authors/755", "ThanksAntsThants")</f>
        <v>ThanksAntsThants</v>
      </c>
      <c r="K425" s="7" t="s">
        <v>49</v>
      </c>
      <c r="M425" s="7" t="s">
        <v>56</v>
      </c>
      <c r="AG425" s="9">
        <v>41033.0</v>
      </c>
      <c r="AH425" s="9">
        <v>41033.0</v>
      </c>
    </row>
    <row r="426">
      <c r="A426" s="6" t="str">
        <f>HYPERLINK("https://archive.ph/o/kCXAs/https://web-beta.archive.org/web/20130315140312/http://clopfic.heroku.com/fics/1038", "How to Get To Equestria")</f>
        <v>How to Get To Equestria</v>
      </c>
      <c r="C426" s="7" t="s">
        <v>54</v>
      </c>
      <c r="E426" s="7" t="s">
        <v>44</v>
      </c>
      <c r="H426" s="8" t="s">
        <v>481</v>
      </c>
      <c r="I426" s="6" t="str">
        <f>HYPERLINK("https://archive.ph/o/kCXAs/https://web-beta.archive.org/web/20130315140312/http://clopfic.heroku.com/authors/754", "Obscure")</f>
        <v>Obscure</v>
      </c>
      <c r="K426" s="7" t="s">
        <v>49</v>
      </c>
      <c r="AF426" s="7" t="s">
        <v>41</v>
      </c>
      <c r="AG426" s="9">
        <v>41033.0</v>
      </c>
      <c r="AH426" s="9">
        <v>41033.0</v>
      </c>
    </row>
    <row r="427">
      <c r="A427" s="6" t="str">
        <f>HYPERLINK("https://archive.ph/o/kCXAs/https://web-beta.archive.org/web/20130315140312/http://clopfic.heroku.com/fics/1037", "My Little Sissy: Coltfriends Are Open-Minded")</f>
        <v>My Little Sissy: Coltfriends Are Open-Minded</v>
      </c>
      <c r="D427" s="7" t="s">
        <v>37</v>
      </c>
      <c r="E427" s="7" t="s">
        <v>44</v>
      </c>
      <c r="H427" s="8" t="s">
        <v>482</v>
      </c>
      <c r="I427" s="6" t="str">
        <f>HYPERLINK("https://archive.ph/o/kCXAs/https://web-beta.archive.org/web/20130315140312/http://clopfic.heroku.com/authors/608", "SwiperTheFox")</f>
        <v>SwiperTheFox</v>
      </c>
      <c r="N427" s="7" t="s">
        <v>47</v>
      </c>
      <c r="V427" s="7" t="s">
        <v>71</v>
      </c>
      <c r="AG427" s="9">
        <v>41033.0</v>
      </c>
      <c r="AH427" s="9">
        <v>41033.0</v>
      </c>
    </row>
    <row r="428">
      <c r="A428" s="6" t="str">
        <f>HYPERLINK("https://archive.ph/o/kCXAs/https://web-beta.archive.org/web/20130315140312/http://clopfic.heroku.com/fics/899", "Dragon's Tragedy")</f>
        <v>Dragon's Tragedy</v>
      </c>
      <c r="B428" s="7" t="s">
        <v>36</v>
      </c>
      <c r="H428" s="8" t="s">
        <v>483</v>
      </c>
      <c r="I428" s="6" t="str">
        <f>HYPERLINK("https://archive.ph/o/kCXAs/https://web-beta.archive.org/web/20130315140312/http://clopfic.heroku.com/authors/751", "HHarlequin")</f>
        <v>HHarlequin</v>
      </c>
      <c r="J428" s="7" t="s">
        <v>39</v>
      </c>
      <c r="M428" s="7" t="s">
        <v>56</v>
      </c>
      <c r="N428" s="7" t="s">
        <v>47</v>
      </c>
      <c r="R428" s="7" t="s">
        <v>66</v>
      </c>
      <c r="Z428" s="7" t="s">
        <v>40</v>
      </c>
      <c r="AF428" s="7" t="s">
        <v>41</v>
      </c>
      <c r="AG428" s="9">
        <v>40991.0</v>
      </c>
      <c r="AH428" s="9">
        <v>41033.0</v>
      </c>
    </row>
    <row r="429">
      <c r="A429" s="6" t="str">
        <f>HYPERLINK("https://archive.ph/o/kCXAs/https://web-beta.archive.org/web/20130315140312/http://clopfic.heroku.com/fics/275", "Sweet Apple Massacre")</f>
        <v>Sweet Apple Massacre</v>
      </c>
      <c r="B429" s="7" t="s">
        <v>36</v>
      </c>
      <c r="H429" s="3"/>
      <c r="I429" s="6" t="str">
        <f>HYPERLINK("https://archive.ph/o/kCXAs/https://web-beta.archive.org/web/20130315140312/http://clopfic.heroku.com/authors/84", "Big Mac (on AFFn)")</f>
        <v>Big Mac (on AFFn)</v>
      </c>
      <c r="S429" s="7" t="s">
        <v>68</v>
      </c>
      <c r="T429" s="7" t="s">
        <v>59</v>
      </c>
      <c r="U429" s="7" t="s">
        <v>60</v>
      </c>
      <c r="V429" s="7" t="s">
        <v>71</v>
      </c>
      <c r="AG429" s="9">
        <v>40722.0</v>
      </c>
      <c r="AH429" s="9">
        <v>41033.0</v>
      </c>
    </row>
    <row r="430">
      <c r="A430" s="6" t="str">
        <f>HYPERLINK("https://archive.ph/o/kCXAs/https://web-beta.archive.org/web/20130315140312/http://clopfic.heroku.com/fics/1036", "Sleepover at Twilight's, Yay!")</f>
        <v>Sleepover at Twilight's, Yay!</v>
      </c>
      <c r="F430" s="7" t="s">
        <v>52</v>
      </c>
      <c r="H430" s="8" t="s">
        <v>484</v>
      </c>
      <c r="I430" s="6" t="str">
        <f>HYPERLINK("https://archive.ph/o/kCXAs/https://web-beta.archive.org/web/20130315140312/http://clopfic.heroku.com/authors/553", "ImJustAnotherBrony")</f>
        <v>ImJustAnotherBrony</v>
      </c>
      <c r="J430" s="7" t="s">
        <v>39</v>
      </c>
      <c r="S430" s="7" t="s">
        <v>68</v>
      </c>
      <c r="T430" s="7" t="s">
        <v>59</v>
      </c>
      <c r="U430" s="7" t="s">
        <v>60</v>
      </c>
      <c r="AG430" s="9">
        <v>41032.0</v>
      </c>
      <c r="AH430" s="9">
        <v>41032.0</v>
      </c>
    </row>
    <row r="431">
      <c r="A431" s="6" t="str">
        <f>HYPERLINK("https://archive.ph/o/kCXAs/https://web-beta.archive.org/web/20130315140312/http://clopfic.heroku.com/fics/594", "The Ambassadors")</f>
        <v>The Ambassadors</v>
      </c>
      <c r="B431" s="7" t="s">
        <v>36</v>
      </c>
      <c r="D431" s="7" t="s">
        <v>37</v>
      </c>
      <c r="F431" s="7" t="s">
        <v>52</v>
      </c>
      <c r="H431" s="8" t="s">
        <v>485</v>
      </c>
      <c r="I431" s="6" t="str">
        <f>HYPERLINK("https://archive.ph/o/kCXAs/https://web-beta.archive.org/web/20130315140312/http://clopfic.heroku.com/authors/750", "Ouash")</f>
        <v>Ouash</v>
      </c>
      <c r="J431" s="7" t="s">
        <v>39</v>
      </c>
      <c r="M431" s="7" t="s">
        <v>56</v>
      </c>
      <c r="X431" s="7" t="s">
        <v>107</v>
      </c>
      <c r="Z431" s="7" t="s">
        <v>40</v>
      </c>
      <c r="AF431" s="7" t="s">
        <v>41</v>
      </c>
      <c r="AG431" s="9">
        <v>40882.0</v>
      </c>
      <c r="AH431" s="9">
        <v>41032.0</v>
      </c>
    </row>
    <row r="432">
      <c r="A432" s="6" t="str">
        <f>HYPERLINK("https://archive.ph/o/kCXAs/https://web-beta.archive.org/web/20130315140312/http://clopfic.heroku.com/fics/1035", "One Last Night")</f>
        <v>One Last Night</v>
      </c>
      <c r="H432" s="8" t="s">
        <v>486</v>
      </c>
      <c r="I432" s="6" t="str">
        <f>HYPERLINK("https://archive.ph/o/kCXAs/https://web-beta.archive.org/web/20130315140312/http://clopfic.heroku.com/authors/749", "Jack of Hearts")</f>
        <v>Jack of Hearts</v>
      </c>
      <c r="J432" s="7" t="s">
        <v>39</v>
      </c>
      <c r="Z432" s="7" t="s">
        <v>40</v>
      </c>
      <c r="AE432" s="7" t="s">
        <v>43</v>
      </c>
      <c r="AG432" s="9">
        <v>41031.0</v>
      </c>
      <c r="AH432" s="9">
        <v>41031.0</v>
      </c>
    </row>
    <row r="433">
      <c r="A433" s="6" t="str">
        <f>HYPERLINK("https://archive.ph/o/kCXAs/https://web-beta.archive.org/web/20130315140312/http://clopfic.heroku.com/fics/1033", "Sweet Seconds ")</f>
        <v>Sweet Seconds </v>
      </c>
      <c r="E433" s="7" t="s">
        <v>44</v>
      </c>
      <c r="H433" s="8" t="s">
        <v>487</v>
      </c>
      <c r="I433" s="6" t="str">
        <f>HYPERLINK("https://archive.ph/o/kCXAs/https://web-beta.archive.org/web/20130315140312/http://clopfic.heroku.com/authors/608", "SwiperTheFox")</f>
        <v>SwiperTheFox</v>
      </c>
      <c r="R433" s="7" t="s">
        <v>66</v>
      </c>
      <c r="U433" s="7" t="s">
        <v>60</v>
      </c>
      <c r="AG433" s="9">
        <v>41030.0</v>
      </c>
      <c r="AH433" s="9">
        <v>41030.0</v>
      </c>
    </row>
    <row r="434">
      <c r="A434" s="6" t="str">
        <f>HYPERLINK("https://archive.ph/o/kCXAs/https://web-beta.archive.org/web/20130315140312/http://clopfic.heroku.com/fics/915", "Lesson Zeero")</f>
        <v>Lesson Zeero</v>
      </c>
      <c r="B434" s="7" t="s">
        <v>36</v>
      </c>
      <c r="E434" s="7" t="s">
        <v>44</v>
      </c>
      <c r="H434" s="8" t="s">
        <v>488</v>
      </c>
      <c r="I434" s="6" t="str">
        <f>HYPERLINK("https://archive.ph/o/kCXAs/https://web-beta.archive.org/web/20130315140312/http://clopfic.heroku.com/authors/562", "WhatTheFap")</f>
        <v>WhatTheFap</v>
      </c>
      <c r="J434" s="7" t="s">
        <v>39</v>
      </c>
      <c r="N434" s="7" t="s">
        <v>47</v>
      </c>
      <c r="P434" s="7" t="s">
        <v>64</v>
      </c>
      <c r="R434" s="7" t="s">
        <v>66</v>
      </c>
      <c r="Z434" s="7" t="s">
        <v>40</v>
      </c>
      <c r="AA434" s="7" t="s">
        <v>113</v>
      </c>
      <c r="AG434" s="9">
        <v>40998.0</v>
      </c>
      <c r="AH434" s="9">
        <v>41030.0</v>
      </c>
    </row>
    <row r="435">
      <c r="A435" s="6" t="str">
        <f>HYPERLINK("https://archive.ph/o/kCXAs/https://web-beta.archive.org/web/20130315140312/http://clopfic.heroku.com/fics/987", "Keepin' Your Heart a Soarin'")</f>
        <v>Keepin' Your Heart a Soarin'</v>
      </c>
      <c r="C435" s="7" t="s">
        <v>54</v>
      </c>
      <c r="E435" s="7" t="s">
        <v>44</v>
      </c>
      <c r="H435" s="8" t="s">
        <v>489</v>
      </c>
      <c r="I435" s="6" t="str">
        <f>HYPERLINK("https://archive.ph/o/kCXAs/https://web-beta.archive.org/web/20130315140312/http://clopfic.heroku.com/authors/608", "SwiperTheFox")</f>
        <v>SwiperTheFox</v>
      </c>
      <c r="Z435" s="7" t="s">
        <v>40</v>
      </c>
      <c r="AE435" s="7" t="s">
        <v>43</v>
      </c>
      <c r="AF435" s="7" t="s">
        <v>41</v>
      </c>
      <c r="AG435" s="9">
        <v>41015.0</v>
      </c>
      <c r="AH435" s="9">
        <v>41030.0</v>
      </c>
    </row>
    <row r="436">
      <c r="A436" s="6" t="str">
        <f>HYPERLINK("https://archive.ph/o/kCXAs/https://web-beta.archive.org/web/20130315140312/http://clopfic.heroku.com/fics/1031", "Warmth, Feeling, Passion")</f>
        <v>Warmth, Feeling, Passion</v>
      </c>
      <c r="H436" s="8" t="s">
        <v>490</v>
      </c>
      <c r="I436" s="6" t="str">
        <f>HYPERLINK("https://archive.ph/o/kCXAs/https://web-beta.archive.org/web/20130315140312/http://clopfic.heroku.com/authors/745", "Caustic")</f>
        <v>Caustic</v>
      </c>
      <c r="J436" s="7" t="s">
        <v>39</v>
      </c>
      <c r="AG436" s="9">
        <v>41028.0</v>
      </c>
      <c r="AH436" s="9">
        <v>41028.0</v>
      </c>
    </row>
    <row r="437">
      <c r="A437" s="6" t="str">
        <f>HYPERLINK("https://archive.ph/o/kCXAs/https://web-beta.archive.org/web/20130315140312/http://clopfic.heroku.com/fics/1028", "A Rainbow's Comfort")</f>
        <v>A Rainbow's Comfort</v>
      </c>
      <c r="E437" s="7" t="s">
        <v>44</v>
      </c>
      <c r="H437" s="8" t="s">
        <v>491</v>
      </c>
      <c r="I437" s="6" t="str">
        <f>HYPERLINK("https://archive.ph/o/kCXAs/https://web-beta.archive.org/web/20130315140312/http://clopfic.heroku.com/authors/743", "TheFabulousRedheart")</f>
        <v>TheFabulousRedheart</v>
      </c>
      <c r="M437" s="7" t="s">
        <v>56</v>
      </c>
      <c r="O437" s="7" t="s">
        <v>51</v>
      </c>
      <c r="AG437" s="9">
        <v>41028.0</v>
      </c>
      <c r="AH437" s="9">
        <v>41028.0</v>
      </c>
    </row>
    <row r="438">
      <c r="A438" s="6" t="str">
        <f>HYPERLINK("https://archive.ph/o/kCXAs/https://web-beta.archive.org/web/20130315140312/http://clopfic.heroku.com/fics/1026", "Her Majestys' Secret Fetish")</f>
        <v>Her Majestys' Secret Fetish</v>
      </c>
      <c r="H438" s="8" t="s">
        <v>492</v>
      </c>
      <c r="I438" s="6" t="str">
        <f>HYPERLINK("https://archive.ph/o/kCXAs/https://web-beta.archive.org/web/20130315140312/http://clopfic.heroku.com/authors/81", "Co/smonaut petro/v/")</f>
        <v>Co/smonaut petro/v/</v>
      </c>
      <c r="N438" s="7" t="s">
        <v>47</v>
      </c>
      <c r="P438" s="7" t="s">
        <v>64</v>
      </c>
      <c r="AG438" s="9">
        <v>41027.0</v>
      </c>
      <c r="AH438" s="9">
        <v>41027.0</v>
      </c>
    </row>
    <row r="439">
      <c r="A439" s="6" t="str">
        <f>HYPERLINK("https://archive.ph/o/kCXAs/https://web-beta.archive.org/web/20130315140312/http://clopfic.heroku.com/fics/1025", "My Little Snout: Physics is Painful")</f>
        <v>My Little Snout: Physics is Painful</v>
      </c>
      <c r="E439" s="7" t="s">
        <v>44</v>
      </c>
      <c r="H439" s="8" t="s">
        <v>493</v>
      </c>
      <c r="I439" s="6" t="str">
        <f>HYPERLINK("https://archive.ph/o/kCXAs/https://web-beta.archive.org/web/20130315140312/http://clopfic.heroku.com/authors/741", "PinkieBeam")</f>
        <v>PinkieBeam</v>
      </c>
      <c r="K439" s="7" t="s">
        <v>49</v>
      </c>
      <c r="M439" s="7" t="s">
        <v>56</v>
      </c>
      <c r="AG439" s="9">
        <v>41027.0</v>
      </c>
      <c r="AH439" s="9">
        <v>41027.0</v>
      </c>
    </row>
    <row r="440">
      <c r="A440" s="6" t="str">
        <f>HYPERLINK("https://archive.ph/o/kCXAs/https://web-beta.archive.org/web/20130315140312/http://clopfic.heroku.com/fics/760", "Twilight's Treatment")</f>
        <v>Twilight's Treatment</v>
      </c>
      <c r="C440" s="7" t="s">
        <v>54</v>
      </c>
      <c r="E440" s="7" t="s">
        <v>44</v>
      </c>
      <c r="H440" s="8" t="s">
        <v>494</v>
      </c>
      <c r="I440" s="6" t="str">
        <f>HYPERLINK("https://archive.ph/o/kCXAs/https://web-beta.archive.org/web/20130315140312/http://clopfic.heroku.com/authors/554", "HHarlequin")</f>
        <v>HHarlequin</v>
      </c>
      <c r="J440" s="7" t="s">
        <v>39</v>
      </c>
      <c r="N440" s="7" t="s">
        <v>47</v>
      </c>
      <c r="R440" s="7" t="s">
        <v>66</v>
      </c>
      <c r="S440" s="7" t="s">
        <v>68</v>
      </c>
      <c r="T440" s="7" t="s">
        <v>59</v>
      </c>
      <c r="U440" s="7" t="s">
        <v>60</v>
      </c>
      <c r="X440" s="7" t="s">
        <v>107</v>
      </c>
      <c r="AG440" s="9">
        <v>40937.0</v>
      </c>
      <c r="AH440" s="9">
        <v>41026.0</v>
      </c>
    </row>
    <row r="441">
      <c r="A441" s="6" t="str">
        <f>HYPERLINK("https://archive.ph/o/kCXAs/https://web-beta.archive.org/web/20130315140312/http://clopfic.heroku.com/fics/1023", "From The Chrysalis, A Fluttershy")</f>
        <v>From The Chrysalis, A Fluttershy</v>
      </c>
      <c r="D441" s="7" t="s">
        <v>37</v>
      </c>
      <c r="E441" s="7" t="s">
        <v>44</v>
      </c>
      <c r="H441" s="8" t="s">
        <v>495</v>
      </c>
      <c r="I441" s="6" t="str">
        <f>HYPERLINK("https://archive.ph/o/kCXAs/https://web-beta.archive.org/web/20130315140312/http://clopfic.heroku.com/authors/740", "Bromega")</f>
        <v>Bromega</v>
      </c>
      <c r="O441" s="7" t="s">
        <v>51</v>
      </c>
      <c r="AF441" s="7" t="s">
        <v>41</v>
      </c>
      <c r="AG441" s="9">
        <v>41026.0</v>
      </c>
      <c r="AH441" s="9">
        <v>41026.0</v>
      </c>
    </row>
    <row r="442">
      <c r="A442" s="6" t="str">
        <f>HYPERLINK("https://archive.ph/o/kCXAs/https://web-beta.archive.org/web/20130315140312/http://clopfic.heroku.com/fics/1022", "The Seeds of Chaos")</f>
        <v>The Seeds of Chaos</v>
      </c>
      <c r="E442" s="7" t="s">
        <v>44</v>
      </c>
      <c r="H442" s="8" t="s">
        <v>496</v>
      </c>
      <c r="I442" s="6" t="str">
        <f>HYPERLINK("https://archive.ph/o/kCXAs/https://web-beta.archive.org/web/20130315140312/http://clopfic.heroku.com/authors/738", "Lythe")</f>
        <v>Lythe</v>
      </c>
      <c r="J442" s="7" t="s">
        <v>39</v>
      </c>
      <c r="AF442" s="7" t="s">
        <v>41</v>
      </c>
      <c r="AG442" s="9">
        <v>41025.0</v>
      </c>
      <c r="AH442" s="9">
        <v>41025.0</v>
      </c>
    </row>
    <row r="443">
      <c r="A443" s="6" t="str">
        <f>HYPERLINK("https://archive.ph/o/kCXAs/https://web-beta.archive.org/web/20130315140312/http://clopfic.heroku.com/fics/1021", "Secret Rites")</f>
        <v>Secret Rites</v>
      </c>
      <c r="C443" s="7" t="s">
        <v>54</v>
      </c>
      <c r="H443" s="8" t="s">
        <v>497</v>
      </c>
      <c r="I443" s="6" t="str">
        <f>HYPERLINK("https://archive.ph/o/kCXAs/https://web-beta.archive.org/web/20130315140312/http://clopfic.heroku.com/authors/675", "darf")</f>
        <v>darf</v>
      </c>
      <c r="J443" s="7" t="s">
        <v>39</v>
      </c>
      <c r="N443" s="7" t="s">
        <v>47</v>
      </c>
      <c r="W443" s="7" t="s">
        <v>69</v>
      </c>
      <c r="AG443" s="9">
        <v>41025.0</v>
      </c>
      <c r="AH443" s="9">
        <v>41025.0</v>
      </c>
    </row>
    <row r="444">
      <c r="A444" s="6" t="str">
        <f>HYPERLINK("https://archive.ph/o/kCXAs/https://web-beta.archive.org/web/20130315140312/http://clopfic.heroku.com/fics/1020", "Skittles")</f>
        <v>Skittles</v>
      </c>
      <c r="G444" s="7" t="s">
        <v>75</v>
      </c>
      <c r="H444" s="8" t="s">
        <v>498</v>
      </c>
      <c r="I444" s="6" t="str">
        <f>HYPERLINK("https://archive.ph/o/kCXAs/https://web-beta.archive.org/web/20130315140312/http://clopfic.heroku.com/authors/737", "MetalGearSamus")</f>
        <v>MetalGearSamus</v>
      </c>
      <c r="K444" s="7" t="s">
        <v>49</v>
      </c>
      <c r="M444" s="7" t="s">
        <v>56</v>
      </c>
      <c r="AG444" s="9">
        <v>41025.0</v>
      </c>
      <c r="AH444" s="9">
        <v>41025.0</v>
      </c>
    </row>
    <row r="445">
      <c r="A445" s="6" t="str">
        <f>HYPERLINK("https://archive.ph/o/kCXAs/https://web-beta.archive.org/web/20130315140312/http://clopfic.heroku.com/fics/1019", "Pinkie Pie's Secret Ingredient")</f>
        <v>Pinkie Pie's Secret Ingredient</v>
      </c>
      <c r="B445" s="7" t="s">
        <v>36</v>
      </c>
      <c r="D445" s="7" t="s">
        <v>37</v>
      </c>
      <c r="E445" s="7" t="s">
        <v>44</v>
      </c>
      <c r="H445" s="8" t="s">
        <v>499</v>
      </c>
      <c r="I445" s="6" t="str">
        <f>HYPERLINK("https://archive.ph/o/kCXAs/https://web-beta.archive.org/web/20130315140312/http://clopfic.heroku.com/authors/736", "mrsaxobeat5588")</f>
        <v>mrsaxobeat5588</v>
      </c>
      <c r="K445" s="7" t="s">
        <v>49</v>
      </c>
      <c r="M445" s="7" t="s">
        <v>56</v>
      </c>
      <c r="Z445" s="7" t="s">
        <v>40</v>
      </c>
      <c r="AF445" s="7" t="s">
        <v>41</v>
      </c>
      <c r="AG445" s="9">
        <v>41024.0</v>
      </c>
      <c r="AH445" s="9">
        <v>41024.0</v>
      </c>
    </row>
    <row r="446">
      <c r="A446" s="3" t="str">
        <f>HYPERLINK("https://archive.ph/o/kCXAs/https://web-beta.archive.org/web/20130315140312/http://clopfic.heroku.com/fics/1018", ""Full of Cider" or "Wetlestia"")</f>
        <v>#ERROR!</v>
      </c>
      <c r="D446" s="7" t="s">
        <v>37</v>
      </c>
      <c r="H446" s="8" t="s">
        <v>500</v>
      </c>
      <c r="I446" s="6" t="str">
        <f>HYPERLINK("https://archive.ph/o/kCXAs/https://web-beta.archive.org/web/20130315140312/http://clopfic.heroku.com/authors/584", "Cloperella")</f>
        <v>Cloperella</v>
      </c>
      <c r="L446" s="7" t="s">
        <v>62</v>
      </c>
      <c r="O446" s="7" t="s">
        <v>51</v>
      </c>
      <c r="P446" s="7" t="s">
        <v>64</v>
      </c>
      <c r="AG446" s="9">
        <v>41024.0</v>
      </c>
      <c r="AH446" s="9">
        <v>41024.0</v>
      </c>
    </row>
    <row r="447">
      <c r="A447" s="6" t="str">
        <f>HYPERLINK("https://archive.ph/o/kCXAs/https://web-beta.archive.org/web/20130315140312/http://clopfic.heroku.com/fics/1017", "Spoon")</f>
        <v>Spoon</v>
      </c>
      <c r="C447" s="7" t="s">
        <v>54</v>
      </c>
      <c r="E447" s="7" t="s">
        <v>44</v>
      </c>
      <c r="H447" s="8" t="s">
        <v>501</v>
      </c>
      <c r="I447" s="6" t="str">
        <f>HYPERLINK("https://archive.ph/o/kCXAs/https://web-beta.archive.org/web/20130315140312/http://clopfic.heroku.com/authors/135", "yawg07")</f>
        <v>yawg07</v>
      </c>
      <c r="Z447" s="7" t="s">
        <v>40</v>
      </c>
      <c r="AE447" s="7" t="s">
        <v>43</v>
      </c>
      <c r="AG447" s="9">
        <v>41023.0</v>
      </c>
      <c r="AH447" s="9">
        <v>41023.0</v>
      </c>
    </row>
    <row r="448">
      <c r="A448" s="6" t="str">
        <f>HYPERLINK("https://archive.ph/o/kCXAs/https://web-beta.archive.org/web/20130315140312/http://clopfic.heroku.com/fics/1005", "Corruption")</f>
        <v>Corruption</v>
      </c>
      <c r="B448" s="7" t="s">
        <v>36</v>
      </c>
      <c r="D448" s="7" t="s">
        <v>37</v>
      </c>
      <c r="H448" s="8" t="s">
        <v>502</v>
      </c>
      <c r="I448" s="6" t="str">
        <f>HYPERLINK("https://archive.ph/o/kCXAs/https://web-beta.archive.org/web/20130315140312/http://clopfic.heroku.com/authors/253", "TAW")</f>
        <v>TAW</v>
      </c>
      <c r="P448" s="7" t="s">
        <v>64</v>
      </c>
      <c r="AG448" s="9">
        <v>41020.0</v>
      </c>
      <c r="AH448" s="9">
        <v>41023.0</v>
      </c>
    </row>
    <row r="449">
      <c r="A449" s="6" t="str">
        <f>HYPERLINK("https://archive.ph/o/kCXAs/https://web-beta.archive.org/web/20130315140312/http://clopfic.heroku.com/fics/582", "Ponyville's lusts")</f>
        <v>Ponyville's lusts</v>
      </c>
      <c r="B449" s="7" t="s">
        <v>36</v>
      </c>
      <c r="D449" s="7" t="s">
        <v>37</v>
      </c>
      <c r="E449" s="7" t="s">
        <v>44</v>
      </c>
      <c r="F449" s="7" t="s">
        <v>52</v>
      </c>
      <c r="H449" s="8" t="s">
        <v>503</v>
      </c>
      <c r="I449" s="6" t="str">
        <f>HYPERLINK("https://archive.ph/o/kCXAs/https://web-beta.archive.org/web/20130315140312/http://clopfic.heroku.com/authors/568", "SoulHook")</f>
        <v>SoulHook</v>
      </c>
      <c r="J449" s="7" t="s">
        <v>39</v>
      </c>
      <c r="K449" s="7" t="s">
        <v>49</v>
      </c>
      <c r="L449" s="7" t="s">
        <v>62</v>
      </c>
      <c r="M449" s="7" t="s">
        <v>56</v>
      </c>
      <c r="N449" s="7" t="s">
        <v>47</v>
      </c>
      <c r="O449" s="7" t="s">
        <v>51</v>
      </c>
      <c r="P449" s="7" t="s">
        <v>64</v>
      </c>
      <c r="R449" s="7" t="s">
        <v>66</v>
      </c>
      <c r="S449" s="7" t="s">
        <v>68</v>
      </c>
      <c r="T449" s="7" t="s">
        <v>59</v>
      </c>
      <c r="U449" s="7" t="s">
        <v>60</v>
      </c>
      <c r="V449" s="7" t="s">
        <v>71</v>
      </c>
      <c r="X449" s="7" t="s">
        <v>107</v>
      </c>
      <c r="Z449" s="7" t="s">
        <v>40</v>
      </c>
      <c r="AA449" s="7" t="s">
        <v>113</v>
      </c>
      <c r="AD449" s="7" t="s">
        <v>111</v>
      </c>
      <c r="AE449" s="7" t="s">
        <v>43</v>
      </c>
      <c r="AF449" s="7" t="s">
        <v>41</v>
      </c>
      <c r="AG449" s="9">
        <v>40877.0</v>
      </c>
      <c r="AH449" s="9">
        <v>41023.0</v>
      </c>
    </row>
    <row r="450">
      <c r="A450" s="6" t="str">
        <f>HYPERLINK("https://archive.ph/o/kCXAs/https://web-beta.archive.org/web/20130315140312/http://clopfic.heroku.com/fics/1014", "Changing Affections")</f>
        <v>Changing Affections</v>
      </c>
      <c r="C450" s="7" t="s">
        <v>54</v>
      </c>
      <c r="D450" s="7" t="s">
        <v>37</v>
      </c>
      <c r="E450" s="7" t="s">
        <v>44</v>
      </c>
      <c r="F450" s="7" t="s">
        <v>52</v>
      </c>
      <c r="H450" s="8" t="s">
        <v>504</v>
      </c>
      <c r="I450" s="6" t="str">
        <f>HYPERLINK("https://archive.ph/o/kCXAs/https://web-beta.archive.org/web/20130315140312/http://clopfic.heroku.com/authors/675", "darf")</f>
        <v>darf</v>
      </c>
      <c r="Z450" s="7" t="s">
        <v>40</v>
      </c>
      <c r="AF450" s="7" t="s">
        <v>41</v>
      </c>
      <c r="AG450" s="9">
        <v>41022.0</v>
      </c>
      <c r="AH450" s="9">
        <v>41023.0</v>
      </c>
    </row>
    <row r="451">
      <c r="A451" s="6" t="str">
        <f>HYPERLINK("https://archive.ph/o/kCXAs/https://web-beta.archive.org/web/20130315140312/http://clopfic.heroku.com/fics/1016", "SwagJacketLulz X Chrysalis ")</f>
        <v>SwagJacketLulz X Chrysalis </v>
      </c>
      <c r="C451" s="7" t="s">
        <v>54</v>
      </c>
      <c r="H451" s="8" t="s">
        <v>505</v>
      </c>
      <c r="I451" s="6" t="str">
        <f>HYPERLINK("https://archive.ph/o/kCXAs/https://web-beta.archive.org/web/20130315140312/http://clopfic.heroku.com/authors/735", "CraigerzF")</f>
        <v>CraigerzF</v>
      </c>
      <c r="Z451" s="7" t="s">
        <v>40</v>
      </c>
      <c r="AF451" s="7" t="s">
        <v>41</v>
      </c>
      <c r="AG451" s="9">
        <v>41023.0</v>
      </c>
      <c r="AH451" s="9">
        <v>41023.0</v>
      </c>
    </row>
    <row r="452">
      <c r="A452" s="6" t="str">
        <f>HYPERLINK("https://archive.ph/o/kCXAs/https://web-beta.archive.org/web/20130315140312/http://clopfic.heroku.com/fics/1015", "Those Sugar Cookies")</f>
        <v>Those Sugar Cookies</v>
      </c>
      <c r="H452" s="8" t="s">
        <v>506</v>
      </c>
      <c r="I452" s="6" t="str">
        <f>HYPERLINK("https://archive.ph/o/kCXAs/https://web-beta.archive.org/web/20130315140312/http://clopfic.heroku.com/authors/734", "Jelly Jiggler")</f>
        <v>Jelly Jiggler</v>
      </c>
      <c r="K452" s="7" t="s">
        <v>49</v>
      </c>
      <c r="AF452" s="7" t="s">
        <v>41</v>
      </c>
      <c r="AG452" s="9">
        <v>41023.0</v>
      </c>
      <c r="AH452" s="9">
        <v>41023.0</v>
      </c>
    </row>
    <row r="453">
      <c r="A453" s="6" t="str">
        <f>HYPERLINK("https://archive.ph/o/kCXAs/https://web-beta.archive.org/web/20130315140312/http://clopfic.heroku.com/fics/1013", "A Brush With A Beauty ")</f>
        <v>A Brush With A Beauty </v>
      </c>
      <c r="C453" s="7" t="s">
        <v>54</v>
      </c>
      <c r="H453" s="8" t="s">
        <v>507</v>
      </c>
      <c r="I453" s="6" t="str">
        <f>HYPERLINK("https://archive.ph/o/kCXAs/https://web-beta.archive.org/web/20130315140312/http://clopfic.heroku.com/authors/608", "SwiperTheFox")</f>
        <v>SwiperTheFox</v>
      </c>
      <c r="Z453" s="7" t="s">
        <v>40</v>
      </c>
      <c r="AE453" s="7" t="s">
        <v>43</v>
      </c>
      <c r="AF453" s="7" t="s">
        <v>41</v>
      </c>
      <c r="AG453" s="9">
        <v>41022.0</v>
      </c>
      <c r="AH453" s="9">
        <v>41022.0</v>
      </c>
    </row>
    <row r="454">
      <c r="A454" s="6" t="str">
        <f>HYPERLINK("https://archive.ph/o/kCXAs/https://web-beta.archive.org/web/20130315140312/http://clopfic.heroku.com/fics/1012", "Chrysalis Lovefest")</f>
        <v>Chrysalis Lovefest</v>
      </c>
      <c r="C454" s="7" t="s">
        <v>54</v>
      </c>
      <c r="D454" s="7" t="s">
        <v>37</v>
      </c>
      <c r="H454" s="3"/>
      <c r="I454" s="6" t="str">
        <f>HYPERLINK("https://archive.ph/o/kCXAs/https://web-beta.archive.org/web/20130315140312/http://clopfic.heroku.com/authors/180", "Anonymous")</f>
        <v>Anonymous</v>
      </c>
      <c r="Z454" s="7" t="s">
        <v>40</v>
      </c>
      <c r="AF454" s="7" t="s">
        <v>41</v>
      </c>
      <c r="AG454" s="9">
        <v>41022.0</v>
      </c>
      <c r="AH454" s="9">
        <v>41022.0</v>
      </c>
    </row>
    <row r="455">
      <c r="A455" s="6" t="str">
        <f>HYPERLINK("https://archive.ph/o/kCXAs/https://web-beta.archive.org/web/20130315140312/http://clopfic.heroku.com/fics/1010", "Appletini")</f>
        <v>Appletini</v>
      </c>
      <c r="D455" s="7" t="s">
        <v>37</v>
      </c>
      <c r="H455" s="8" t="s">
        <v>508</v>
      </c>
      <c r="I455" s="6" t="str">
        <f>HYPERLINK("https://archive.ph/o/kCXAs/https://web-beta.archive.org/web/20130315140312/http://clopfic.heroku.com/authors/81", "Co/smonaut petro/v/")</f>
        <v>Co/smonaut petro/v/</v>
      </c>
      <c r="L455" s="7" t="s">
        <v>62</v>
      </c>
      <c r="M455" s="7" t="s">
        <v>56</v>
      </c>
      <c r="AG455" s="9">
        <v>41021.0</v>
      </c>
      <c r="AH455" s="9">
        <v>41021.0</v>
      </c>
    </row>
    <row r="456">
      <c r="A456" s="6" t="str">
        <f>HYPERLINK("https://archive.ph/o/kCXAs/https://web-beta.archive.org/web/20130315140312/http://clopfic.heroku.com/fics/1009", "Dash cider Season")</f>
        <v>Dash cider Season</v>
      </c>
      <c r="E456" s="7" t="s">
        <v>44</v>
      </c>
      <c r="H456" s="3"/>
      <c r="I456" s="6" t="str">
        <f>HYPERLINK("https://archive.ph/o/kCXAs/https://web-beta.archive.org/web/20130315140312/http://clopfic.heroku.com/authors/732", "Friendly Dynasty")</f>
        <v>Friendly Dynasty</v>
      </c>
      <c r="M456" s="7" t="s">
        <v>56</v>
      </c>
      <c r="R456" s="7" t="s">
        <v>66</v>
      </c>
      <c r="V456" s="7" t="s">
        <v>71</v>
      </c>
      <c r="Z456" s="7" t="s">
        <v>40</v>
      </c>
      <c r="AF456" s="7" t="s">
        <v>41</v>
      </c>
      <c r="AG456" s="9">
        <v>41021.0</v>
      </c>
      <c r="AH456" s="9">
        <v>41021.0</v>
      </c>
    </row>
    <row r="457">
      <c r="A457" s="6" t="str">
        <f>HYPERLINK("https://archive.ph/o/kCXAs/https://web-beta.archive.org/web/20130315140312/http://clopfic.heroku.com/fics/999", "SCIENCE!")</f>
        <v>SCIENCE!</v>
      </c>
      <c r="D457" s="7" t="s">
        <v>37</v>
      </c>
      <c r="H457" s="8" t="s">
        <v>509</v>
      </c>
      <c r="I457" s="6" t="str">
        <f>HYPERLINK("https://archive.ph/o/kCXAs/https://web-beta.archive.org/web/20130315140312/http://clopfic.heroku.com/fics", "/fics")</f>
        <v>/fics</v>
      </c>
      <c r="J457" s="7" t="s">
        <v>39</v>
      </c>
      <c r="Z457" s="7" t="s">
        <v>40</v>
      </c>
      <c r="AF457" s="7" t="s">
        <v>41</v>
      </c>
      <c r="AG457" s="9">
        <v>41019.0</v>
      </c>
      <c r="AH457" s="9">
        <v>41021.0</v>
      </c>
    </row>
    <row r="458">
      <c r="A458" s="6" t="str">
        <f>HYPERLINK("https://archive.ph/o/kCXAs/https://web-beta.archive.org/web/20130315140312/http://clopfic.heroku.com/fics/1007", "Mistress Says")</f>
        <v>Mistress Says</v>
      </c>
      <c r="D458" s="7" t="s">
        <v>37</v>
      </c>
      <c r="G458" s="7" t="s">
        <v>75</v>
      </c>
      <c r="H458" s="8" t="s">
        <v>510</v>
      </c>
      <c r="I458" s="6" t="str">
        <f t="shared" ref="I458:I460" si="14">HYPERLINK("https://archive.ph/o/kCXAs/https://web-beta.archive.org/web/20130315140312/http://clopfic.heroku.com/authors/724", "Stinger-VXR42")</f>
        <v>Stinger-VXR42</v>
      </c>
      <c r="N458" s="7" t="s">
        <v>47</v>
      </c>
      <c r="O458" s="7" t="s">
        <v>51</v>
      </c>
      <c r="AE458" s="7" t="s">
        <v>43</v>
      </c>
      <c r="AG458" s="9">
        <v>41021.0</v>
      </c>
      <c r="AH458" s="9">
        <v>41021.0</v>
      </c>
    </row>
    <row r="459">
      <c r="A459" s="6" t="str">
        <f>HYPERLINK("https://archive.ph/o/kCXAs/https://web-beta.archive.org/web/20130315140312/http://clopfic.heroku.com/fics/558", "What Happens on the Farm")</f>
        <v>What Happens on the Farm</v>
      </c>
      <c r="E459" s="7" t="s">
        <v>44</v>
      </c>
      <c r="H459" s="8" t="s">
        <v>511</v>
      </c>
      <c r="I459" s="6" t="str">
        <f t="shared" si="14"/>
        <v>Stinger-VXR42</v>
      </c>
      <c r="L459" s="7" t="s">
        <v>62</v>
      </c>
      <c r="Z459" s="7" t="s">
        <v>40</v>
      </c>
      <c r="AE459" s="7" t="s">
        <v>43</v>
      </c>
      <c r="AG459" s="9">
        <v>40858.0</v>
      </c>
      <c r="AH459" s="9">
        <v>41021.0</v>
      </c>
    </row>
    <row r="460">
      <c r="A460" s="6" t="str">
        <f>HYPERLINK("https://archive.ph/o/kCXAs/https://web-beta.archive.org/web/20130315140312/http://clopfic.heroku.com/fics/697", "Great Balls of Fire")</f>
        <v>Great Balls of Fire</v>
      </c>
      <c r="E460" s="7" t="s">
        <v>44</v>
      </c>
      <c r="H460" s="8" t="s">
        <v>512</v>
      </c>
      <c r="I460" s="6" t="str">
        <f t="shared" si="14"/>
        <v>Stinger-VXR42</v>
      </c>
      <c r="M460" s="7" t="s">
        <v>56</v>
      </c>
      <c r="Z460" s="7" t="s">
        <v>40</v>
      </c>
      <c r="AF460" s="7" t="s">
        <v>41</v>
      </c>
      <c r="AG460" s="9">
        <v>40915.0</v>
      </c>
      <c r="AH460" s="9">
        <v>41021.0</v>
      </c>
    </row>
    <row r="461">
      <c r="A461" s="6" t="str">
        <f>HYPERLINK("https://archive.ph/o/kCXAs/https://web-beta.archive.org/web/20130315140312/http://clopfic.heroku.com/fics/1006", "Derplight Dash ")</f>
        <v>Derplight Dash </v>
      </c>
      <c r="D461" s="7" t="s">
        <v>37</v>
      </c>
      <c r="E461" s="7" t="s">
        <v>44</v>
      </c>
      <c r="H461" s="8" t="s">
        <v>513</v>
      </c>
      <c r="I461" s="6" t="str">
        <f>HYPERLINK("https://archive.ph/o/kCXAs/https://web-beta.archive.org/web/20130315140312/http://clopfic.heroku.com/authors/608", "SwiperTheFox")</f>
        <v>SwiperTheFox</v>
      </c>
      <c r="J461" s="7" t="s">
        <v>39</v>
      </c>
      <c r="M461" s="7" t="s">
        <v>56</v>
      </c>
      <c r="Z461" s="7" t="s">
        <v>40</v>
      </c>
      <c r="AA461" s="7" t="s">
        <v>113</v>
      </c>
      <c r="AG461" s="9">
        <v>41020.0</v>
      </c>
      <c r="AH461" s="9">
        <v>41020.0</v>
      </c>
    </row>
    <row r="462">
      <c r="A462" s="6" t="str">
        <f>HYPERLINK("https://archive.ph/o/kCXAs/https://web-beta.archive.org/web/20130315140312/http://clopfic.heroku.com/fics/1004", "Wedding Night Jitters")</f>
        <v>Wedding Night Jitters</v>
      </c>
      <c r="D462" s="7" t="s">
        <v>37</v>
      </c>
      <c r="H462" s="8" t="s">
        <v>514</v>
      </c>
      <c r="I462" s="6" t="str">
        <f>HYPERLINK("https://archive.ph/o/kCXAs/https://web-beta.archive.org/web/20130315140312/http://clopfic.heroku.com/authors/247", "One Terrible Writer")</f>
        <v>One Terrible Writer</v>
      </c>
      <c r="P462" s="7" t="s">
        <v>64</v>
      </c>
      <c r="AF462" s="7" t="s">
        <v>41</v>
      </c>
      <c r="AG462" s="9">
        <v>41020.0</v>
      </c>
      <c r="AH462" s="9">
        <v>41020.0</v>
      </c>
    </row>
    <row r="463">
      <c r="A463" s="6" t="str">
        <f>HYPERLINK("https://archive.ph/o/kCXAs/https://web-beta.archive.org/web/20130315140312/http://clopfic.heroku.com/fics/1003", "Fluttershy and Rainbow Dash's Salty Little Secret")</f>
        <v>Fluttershy and Rainbow Dash's Salty Little Secret</v>
      </c>
      <c r="D463" s="7" t="s">
        <v>37</v>
      </c>
      <c r="E463" s="7" t="s">
        <v>44</v>
      </c>
      <c r="H463" s="8" t="s">
        <v>515</v>
      </c>
      <c r="I463" s="6" t="str">
        <f>HYPERLINK("https://archive.ph/o/kCXAs/https://web-beta.archive.org/web/20130315140312/http://clopfic.heroku.com/authors/725", "GRW")</f>
        <v>GRW</v>
      </c>
      <c r="M463" s="7" t="s">
        <v>56</v>
      </c>
      <c r="O463" s="7" t="s">
        <v>51</v>
      </c>
      <c r="AG463" s="9">
        <v>41020.0</v>
      </c>
      <c r="AH463" s="9">
        <v>41020.0</v>
      </c>
    </row>
    <row r="464">
      <c r="A464" s="6" t="str">
        <f>HYPERLINK("https://archive.ph/o/kCXAs/https://web-beta.archive.org/web/20130315140312/http://clopfic.heroku.com/fics/539", "A Good Host")</f>
        <v>A Good Host</v>
      </c>
      <c r="E464" s="7" t="s">
        <v>44</v>
      </c>
      <c r="H464" s="8" t="s">
        <v>516</v>
      </c>
      <c r="I464" s="6" t="str">
        <f>HYPERLINK("https://archive.ph/o/kCXAs/https://web-beta.archive.org/web/20130315140312/http://clopfic.heroku.com/authors/724", "Stinger-VXR42")</f>
        <v>Stinger-VXR42</v>
      </c>
      <c r="Z464" s="7" t="s">
        <v>40</v>
      </c>
      <c r="AE464" s="7" t="s">
        <v>43</v>
      </c>
      <c r="AG464" s="9">
        <v>40840.0</v>
      </c>
      <c r="AH464" s="9">
        <v>41020.0</v>
      </c>
    </row>
    <row r="465">
      <c r="A465" s="6" t="str">
        <f>HYPERLINK("https://archive.ph/o/kCXAs/https://web-beta.archive.org/web/20130315140312/http://clopfic.heroku.com/fics/1002", "Expanding Rainbow")</f>
        <v>Expanding Rainbow</v>
      </c>
      <c r="D465" s="7" t="s">
        <v>37</v>
      </c>
      <c r="H465" s="8" t="s">
        <v>517</v>
      </c>
      <c r="I465" s="6" t="str">
        <f>HYPERLINK("https://archive.ph/o/kCXAs/https://web-beta.archive.org/web/20130315140312/http://clopfic.heroku.com/authors/722", "HP Lamecraft")</f>
        <v>HP Lamecraft</v>
      </c>
      <c r="M465" s="7" t="s">
        <v>56</v>
      </c>
      <c r="N465" s="7" t="s">
        <v>47</v>
      </c>
      <c r="T465" s="7" t="s">
        <v>59</v>
      </c>
      <c r="X465" s="7" t="s">
        <v>107</v>
      </c>
      <c r="Z465" s="7" t="s">
        <v>40</v>
      </c>
      <c r="AE465" s="7" t="s">
        <v>43</v>
      </c>
      <c r="AG465" s="9">
        <v>41019.0</v>
      </c>
      <c r="AH465" s="9">
        <v>41019.0</v>
      </c>
    </row>
    <row r="466">
      <c r="A466" s="6" t="str">
        <f>HYPERLINK("https://archive.ph/o/kCXAs/https://web-beta.archive.org/web/20130315140312/http://clopfic.heroku.com/fics/1001", "Spark my Fire")</f>
        <v>Spark my Fire</v>
      </c>
      <c r="D466" s="7" t="s">
        <v>37</v>
      </c>
      <c r="E466" s="7" t="s">
        <v>44</v>
      </c>
      <c r="H466" s="8" t="s">
        <v>518</v>
      </c>
      <c r="I466" s="6" t="str">
        <f>HYPERLINK("https://archive.ph/o/kCXAs/https://web-beta.archive.org/web/20130315140312/http://clopfic.heroku.com/authors/701", "Diceman")</f>
        <v>Diceman</v>
      </c>
      <c r="J466" s="7" t="s">
        <v>39</v>
      </c>
      <c r="AB466" s="7" t="s">
        <v>101</v>
      </c>
      <c r="AE466" s="7" t="s">
        <v>43</v>
      </c>
      <c r="AG466" s="9">
        <v>41019.0</v>
      </c>
      <c r="AH466" s="9">
        <v>41019.0</v>
      </c>
    </row>
    <row r="467">
      <c r="A467" s="6" t="str">
        <f>HYPERLINK("https://archive.ph/o/kCXAs/https://web-beta.archive.org/web/20130315140312/http://clopfic.heroku.com/fics/1000", "Ruby and Pickle")</f>
        <v>Ruby and Pickle</v>
      </c>
      <c r="D467" s="7" t="s">
        <v>37</v>
      </c>
      <c r="H467" s="8" t="s">
        <v>519</v>
      </c>
      <c r="I467" s="6" t="str">
        <f>HYPERLINK("https://archive.ph/o/kCXAs/https://web-beta.archive.org/web/20130315140312/http://clopfic.heroku.com/authors/367", "Trompony")</f>
        <v>Trompony</v>
      </c>
      <c r="Z467" s="7" t="s">
        <v>40</v>
      </c>
      <c r="AE467" s="7" t="s">
        <v>43</v>
      </c>
      <c r="AF467" s="7" t="s">
        <v>41</v>
      </c>
      <c r="AG467" s="9">
        <v>41019.0</v>
      </c>
      <c r="AH467" s="9">
        <v>41019.0</v>
      </c>
    </row>
    <row r="468">
      <c r="A468" s="6" t="str">
        <f>HYPERLINK("https://archive.ph/o/kCXAs/https://web-beta.archive.org/web/20130315140312/http://clopfic.heroku.com/fics/998", "Disobedience")</f>
        <v>Disobedience</v>
      </c>
      <c r="B468" s="7" t="s">
        <v>36</v>
      </c>
      <c r="H468" s="8" t="s">
        <v>520</v>
      </c>
      <c r="I468" s="6" t="str">
        <f>HYPERLINK("https://archive.ph/o/kCXAs/https://web-beta.archive.org/web/20130315140312/http://clopfic.heroku.com/authors/253", "TAW")</f>
        <v>TAW</v>
      </c>
      <c r="J468" s="7" t="s">
        <v>39</v>
      </c>
      <c r="AG468" s="9">
        <v>41018.0</v>
      </c>
      <c r="AH468" s="9">
        <v>41018.0</v>
      </c>
    </row>
    <row r="469">
      <c r="A469" s="6" t="str">
        <f>HYPERLINK("https://archive.ph/o/kCXAs/https://web-beta.archive.org/web/20130315140312/http://clopfic.heroku.com/fics/997", "Dragon Ride")</f>
        <v>Dragon Ride</v>
      </c>
      <c r="E469" s="7" t="s">
        <v>44</v>
      </c>
      <c r="H469" s="8" t="s">
        <v>521</v>
      </c>
      <c r="I469" s="6" t="str">
        <f>HYPERLINK("https://archive.ph/o/kCXAs/https://web-beta.archive.org/web/20130315140312/http://clopfic.heroku.com/authors/71", "StreakTheFox")</f>
        <v>StreakTheFox</v>
      </c>
      <c r="J469" s="7" t="s">
        <v>39</v>
      </c>
      <c r="R469" s="7" t="s">
        <v>66</v>
      </c>
      <c r="AG469" s="9">
        <v>41018.0</v>
      </c>
      <c r="AH469" s="9">
        <v>41018.0</v>
      </c>
    </row>
    <row r="470">
      <c r="A470" s="6" t="str">
        <f>HYPERLINK("https://archive.ph/o/kCXAs/https://web-beta.archive.org/web/20130315140312/http://clopfic.heroku.com/fics/942", "Rarest of Lilies")</f>
        <v>Rarest of Lilies</v>
      </c>
      <c r="E470" s="7" t="s">
        <v>44</v>
      </c>
      <c r="H470" s="8" t="s">
        <v>522</v>
      </c>
      <c r="I470" s="6" t="str">
        <f>HYPERLINK("https://archive.ph/o/kCXAs/https://web-beta.archive.org/web/20130315140312/http://clopfic.heroku.com/authors/670", "Jura~")</f>
        <v>Jura~</v>
      </c>
      <c r="N470" s="7" t="s">
        <v>47</v>
      </c>
      <c r="Z470" s="7" t="s">
        <v>40</v>
      </c>
      <c r="AE470" s="7" t="s">
        <v>43</v>
      </c>
      <c r="AG470" s="9">
        <v>41004.0</v>
      </c>
      <c r="AH470" s="9">
        <v>41018.0</v>
      </c>
    </row>
    <row r="471">
      <c r="A471" s="6" t="str">
        <f>HYPERLINK("https://archive.ph/o/kCXAs/https://web-beta.archive.org/web/20130315140312/http://clopfic.heroku.com/fics/996", "Interview with a Magician")</f>
        <v>Interview with a Magician</v>
      </c>
      <c r="C471" s="7" t="s">
        <v>54</v>
      </c>
      <c r="H471" s="8" t="s">
        <v>523</v>
      </c>
      <c r="I471" s="6" t="str">
        <f>HYPERLINK("https://archive.ph/o/kCXAs/https://web-beta.archive.org/web/20130315140312/http://clopfic.heroku.com/authors/714", "Allosaurus")</f>
        <v>Allosaurus</v>
      </c>
      <c r="O471" s="7" t="s">
        <v>51</v>
      </c>
      <c r="W471" s="7" t="s">
        <v>69</v>
      </c>
      <c r="AG471" s="9">
        <v>41017.0</v>
      </c>
      <c r="AH471" s="9">
        <v>41017.0</v>
      </c>
    </row>
    <row r="472">
      <c r="A472" s="6" t="str">
        <f>HYPERLINK("https://archive.ph/o/kCXAs/https://web-beta.archive.org/web/20130315140312/http://clopfic.heroku.com/fics/995", "Drop the (b)Ass (or '40 oz Bounce')")</f>
        <v>Drop the (b)Ass (or '40 oz Bounce')</v>
      </c>
      <c r="E472" s="7" t="s">
        <v>44</v>
      </c>
      <c r="H472" s="8" t="s">
        <v>524</v>
      </c>
      <c r="I472" s="6" t="str">
        <f>HYPERLINK("https://archive.ph/o/kCXAs/https://web-beta.archive.org/web/20130315140312/http://clopfic.heroku.com/authors/675", "darf")</f>
        <v>darf</v>
      </c>
      <c r="Z472" s="7" t="s">
        <v>40</v>
      </c>
      <c r="AE472" s="7" t="s">
        <v>43</v>
      </c>
      <c r="AF472" s="7" t="s">
        <v>41</v>
      </c>
      <c r="AG472" s="9">
        <v>41017.0</v>
      </c>
      <c r="AH472" s="9">
        <v>41017.0</v>
      </c>
    </row>
    <row r="473">
      <c r="A473" s="6" t="str">
        <f>HYPERLINK("https://archive.ph/o/kCXAs/https://web-beta.archive.org/web/20130315140312/http://clopfic.heroku.com/fics/993", "Raisin Gets Rock Hard")</f>
        <v>Raisin Gets Rock Hard</v>
      </c>
      <c r="F473" s="7" t="s">
        <v>52</v>
      </c>
      <c r="G473" s="7" t="s">
        <v>75</v>
      </c>
      <c r="H473" s="8" t="s">
        <v>525</v>
      </c>
      <c r="I473" s="6" t="str">
        <f>HYPERLINK("https://archive.ph/o/kCXAs/https://web-beta.archive.org/web/20130315140312/http://clopfic.heroku.com/authors/712", "Zeebles")</f>
        <v>Zeebles</v>
      </c>
      <c r="AF473" s="7" t="s">
        <v>41</v>
      </c>
      <c r="AG473" s="9">
        <v>41017.0</v>
      </c>
      <c r="AH473" s="9">
        <v>41017.0</v>
      </c>
    </row>
    <row r="474">
      <c r="A474" s="6" t="str">
        <f>HYPERLINK("https://archive.ph/o/kCXAs/https://web-beta.archive.org/web/20130315140312/http://clopfic.heroku.com/fics/992", "Springtime in Ponyville: A Heat and Desire story")</f>
        <v>Springtime in Ponyville: A Heat and Desire story</v>
      </c>
      <c r="H474" s="8" t="s">
        <v>526</v>
      </c>
      <c r="I474" s="6" t="str">
        <f>HYPERLINK("https://archive.ph/o/kCXAs/https://web-beta.archive.org/web/20130315140312/http://clopfic.heroku.com/authors/548", "Brony Incognito")</f>
        <v>Brony Incognito</v>
      </c>
      <c r="L474" s="7" t="s">
        <v>62</v>
      </c>
      <c r="N474" s="7" t="s">
        <v>47</v>
      </c>
      <c r="V474" s="7" t="s">
        <v>71</v>
      </c>
      <c r="AG474" s="9">
        <v>41016.0</v>
      </c>
      <c r="AH474" s="9">
        <v>41016.0</v>
      </c>
    </row>
    <row r="475">
      <c r="A475" s="6" t="str">
        <f>HYPERLINK("https://archive.ph/o/kCXAs/https://web-beta.archive.org/web/20130315140312/http://clopfic.heroku.com/fics/991", "Twilight's Experiment Delivery")</f>
        <v>Twilight's Experiment Delivery</v>
      </c>
      <c r="C475" s="7" t="s">
        <v>54</v>
      </c>
      <c r="D475" s="7" t="s">
        <v>37</v>
      </c>
      <c r="H475" s="8" t="s">
        <v>527</v>
      </c>
      <c r="I475" s="6" t="str">
        <f>HYPERLINK("https://archive.ph/o/kCXAs/https://web-beta.archive.org/web/20130315140312/http://clopfic.heroku.com/authors/356", "Metals")</f>
        <v>Metals</v>
      </c>
      <c r="J475" s="7" t="s">
        <v>39</v>
      </c>
      <c r="O475" s="7" t="s">
        <v>51</v>
      </c>
      <c r="R475" s="7" t="s">
        <v>66</v>
      </c>
      <c r="Z475" s="7" t="s">
        <v>40</v>
      </c>
      <c r="AF475" s="7" t="s">
        <v>41</v>
      </c>
      <c r="AG475" s="9">
        <v>41015.0</v>
      </c>
      <c r="AH475" s="9">
        <v>41015.0</v>
      </c>
    </row>
    <row r="476">
      <c r="A476" s="6" t="str">
        <f>HYPERLINK("https://archive.ph/o/kCXAs/https://web-beta.archive.org/web/20130315140312/http://clopfic.heroku.com/fics/990", "Loyalty")</f>
        <v>Loyalty</v>
      </c>
      <c r="D476" s="7" t="s">
        <v>37</v>
      </c>
      <c r="E476" s="7" t="s">
        <v>44</v>
      </c>
      <c r="H476" s="8" t="s">
        <v>528</v>
      </c>
      <c r="I476" s="6" t="str">
        <f>HYPERLINK("https://archive.ph/o/kCXAs/https://web-beta.archive.org/web/20130315140312/http://clopfic.heroku.com/authors/253", "TAW")</f>
        <v>TAW</v>
      </c>
      <c r="M476" s="7" t="s">
        <v>56</v>
      </c>
      <c r="N476" s="7" t="s">
        <v>47</v>
      </c>
      <c r="AG476" s="9">
        <v>41015.0</v>
      </c>
      <c r="AH476" s="9">
        <v>41015.0</v>
      </c>
    </row>
    <row r="477">
      <c r="A477" s="6" t="str">
        <f>HYPERLINK("https://archive.ph/o/kCXAs/https://web-beta.archive.org/web/20130315140312/http://clopfic.heroku.com/fics/989", "Spike's Urine Lust")</f>
        <v>Spike's Urine Lust</v>
      </c>
      <c r="D477" s="7" t="s">
        <v>37</v>
      </c>
      <c r="H477" s="8" t="s">
        <v>529</v>
      </c>
      <c r="I477" s="6" t="str">
        <f>HYPERLINK("https://archive.ph/o/kCXAs/https://web-beta.archive.org/web/20130315140312/http://clopfic.heroku.com/authors/710", "TwilightPsycho")</f>
        <v>TwilightPsycho</v>
      </c>
      <c r="J477" s="7" t="s">
        <v>39</v>
      </c>
      <c r="N477" s="7" t="s">
        <v>47</v>
      </c>
      <c r="R477" s="7" t="s">
        <v>66</v>
      </c>
      <c r="AG477" s="9">
        <v>41015.0</v>
      </c>
      <c r="AH477" s="9">
        <v>41015.0</v>
      </c>
    </row>
    <row r="478">
      <c r="A478" s="6" t="str">
        <f>HYPERLINK("https://archive.ph/o/kCXAs/https://web-beta.archive.org/web/20130315140312/http://clopfic.heroku.com/fics/988", "MLP Incest is Magic")</f>
        <v>MLP Incest is Magic</v>
      </c>
      <c r="D478" s="7" t="s">
        <v>37</v>
      </c>
      <c r="E478" s="7" t="s">
        <v>44</v>
      </c>
      <c r="F478" s="7" t="s">
        <v>52</v>
      </c>
      <c r="H478" s="8" t="s">
        <v>530</v>
      </c>
      <c r="I478" s="6" t="str">
        <f>HYPERLINK("https://archive.ph/o/kCXAs/https://web-beta.archive.org/web/20130315140312/http://clopfic.heroku.com/authors/707", "HitBrother")</f>
        <v>HitBrother</v>
      </c>
      <c r="K478" s="7" t="s">
        <v>49</v>
      </c>
      <c r="L478" s="7" t="s">
        <v>62</v>
      </c>
      <c r="M478" s="7" t="s">
        <v>56</v>
      </c>
      <c r="N478" s="7" t="s">
        <v>47</v>
      </c>
      <c r="O478" s="7" t="s">
        <v>51</v>
      </c>
      <c r="P478" s="7" t="s">
        <v>64</v>
      </c>
      <c r="Q478" s="7" t="s">
        <v>65</v>
      </c>
      <c r="R478" s="7" t="s">
        <v>66</v>
      </c>
      <c r="S478" s="7" t="s">
        <v>68</v>
      </c>
      <c r="T478" s="7" t="s">
        <v>59</v>
      </c>
      <c r="U478" s="7" t="s">
        <v>60</v>
      </c>
      <c r="V478" s="7" t="s">
        <v>71</v>
      </c>
      <c r="W478" s="7" t="s">
        <v>69</v>
      </c>
      <c r="Y478" s="7" t="s">
        <v>184</v>
      </c>
      <c r="Z478" s="7" t="s">
        <v>40</v>
      </c>
      <c r="AA478" s="7" t="s">
        <v>113</v>
      </c>
      <c r="AB478" s="7" t="s">
        <v>101</v>
      </c>
      <c r="AC478" s="7" t="s">
        <v>102</v>
      </c>
      <c r="AD478" s="7" t="s">
        <v>111</v>
      </c>
      <c r="AE478" s="7" t="s">
        <v>43</v>
      </c>
      <c r="AF478" s="7" t="s">
        <v>41</v>
      </c>
      <c r="AG478" s="9">
        <v>41015.0</v>
      </c>
      <c r="AH478" s="9">
        <v>41015.0</v>
      </c>
    </row>
    <row r="479">
      <c r="A479" s="6" t="str">
        <f>HYPERLINK("https://archive.ph/o/kCXAs/https://web-beta.archive.org/web/20130315140312/http://clopfic.heroku.com/fics/986", "Without Magic")</f>
        <v>Without Magic</v>
      </c>
      <c r="H479" s="8" t="s">
        <v>383</v>
      </c>
      <c r="I479" s="6" t="str">
        <f>HYPERLINK("https://archive.ph/o/kCXAs/https://web-beta.archive.org/web/20130315140312/http://clopfic.heroku.com/authors/706", "TheFireFlash")</f>
        <v>TheFireFlash</v>
      </c>
      <c r="J479" s="7" t="s">
        <v>39</v>
      </c>
      <c r="R479" s="7" t="s">
        <v>66</v>
      </c>
      <c r="AG479" s="9">
        <v>41015.0</v>
      </c>
      <c r="AH479" s="9">
        <v>41015.0</v>
      </c>
    </row>
    <row r="480">
      <c r="A480" s="6" t="str">
        <f>HYPERLINK("https://archive.ph/o/kCXAs/https://web-beta.archive.org/web/20130315140312/http://clopfic.heroku.com/fics/985", "After working hours")</f>
        <v>After working hours</v>
      </c>
      <c r="E480" s="7" t="s">
        <v>44</v>
      </c>
      <c r="H480" s="8" t="s">
        <v>531</v>
      </c>
      <c r="I480" s="6" t="str">
        <f>HYPERLINK("https://archive.ph/o/kCXAs/https://web-beta.archive.org/web/20130315140312/http://clopfic.heroku.com/authors/198", "Theorangefox")</f>
        <v>Theorangefox</v>
      </c>
      <c r="Z480" s="7" t="s">
        <v>40</v>
      </c>
      <c r="AE480" s="7" t="s">
        <v>43</v>
      </c>
      <c r="AG480" s="9">
        <v>41014.0</v>
      </c>
      <c r="AH480" s="9">
        <v>41014.0</v>
      </c>
    </row>
    <row r="481">
      <c r="A481" s="6" t="str">
        <f>HYPERLINK("https://archive.ph/o/kCXAs/https://web-beta.archive.org/web/20130315140312/http://clopfic.heroku.com/fics/984", "Good Clop, Bad Clop")</f>
        <v>Good Clop, Bad Clop</v>
      </c>
      <c r="B481" s="7" t="s">
        <v>36</v>
      </c>
      <c r="C481" s="7" t="s">
        <v>54</v>
      </c>
      <c r="E481" s="7" t="s">
        <v>44</v>
      </c>
      <c r="H481" s="3"/>
      <c r="I481" s="6" t="str">
        <f>HYPERLINK("https://archive.ph/o/kCXAs/https://web-beta.archive.org/web/20130315140312/http://clopfic.heroku.com/authors/705", "pjabrony")</f>
        <v>pjabrony</v>
      </c>
      <c r="P481" s="7" t="s">
        <v>64</v>
      </c>
      <c r="Z481" s="7" t="s">
        <v>40</v>
      </c>
      <c r="AE481" s="7" t="s">
        <v>43</v>
      </c>
      <c r="AG481" s="9">
        <v>41014.0</v>
      </c>
      <c r="AH481" s="9">
        <v>41014.0</v>
      </c>
    </row>
    <row r="482">
      <c r="A482" s="6" t="str">
        <f>HYPERLINK("https://archive.ph/o/kCXAs/https://web-beta.archive.org/web/20130315140312/http://clopfic.heroku.com/fics/983", "My Little Pony: Wait Wait, Don't Tell Me!")</f>
        <v>My Little Pony: Wait Wait, Don't Tell Me!</v>
      </c>
      <c r="C482" s="7" t="s">
        <v>54</v>
      </c>
      <c r="H482" s="8" t="s">
        <v>532</v>
      </c>
      <c r="I482" s="6" t="str">
        <f>HYPERLINK("https://archive.ph/o/kCXAs/https://web-beta.archive.org/web/20130315140312/http://clopfic.heroku.com/authors/96", "Fairy Slayer")</f>
        <v>Fairy Slayer</v>
      </c>
      <c r="O482" s="7" t="s">
        <v>51</v>
      </c>
      <c r="Z482" s="7" t="s">
        <v>40</v>
      </c>
      <c r="AF482" s="7" t="s">
        <v>41</v>
      </c>
      <c r="AG482" s="9">
        <v>41014.0</v>
      </c>
      <c r="AH482" s="9">
        <v>41014.0</v>
      </c>
    </row>
    <row r="483">
      <c r="A483" s="6" t="str">
        <f>HYPERLINK("https://archive.ph/o/kCXAs/https://web-beta.archive.org/web/20130315140312/http://clopfic.heroku.com/fics/982", "Apple Cinnamon Morning")</f>
        <v>Apple Cinnamon Morning</v>
      </c>
      <c r="E483" s="7" t="s">
        <v>44</v>
      </c>
      <c r="H483" s="8" t="s">
        <v>533</v>
      </c>
      <c r="I483" s="6" t="str">
        <f>HYPERLINK("https://archive.ph/o/kCXAs/https://web-beta.archive.org/web/20130315140312/http://clopfic.heroku.com/authors/675", "darf")</f>
        <v>darf</v>
      </c>
      <c r="AF483" s="7" t="s">
        <v>41</v>
      </c>
      <c r="AG483" s="9">
        <v>41014.0</v>
      </c>
      <c r="AH483" s="9">
        <v>41014.0</v>
      </c>
    </row>
    <row r="484">
      <c r="A484" s="6" t="str">
        <f>HYPERLINK("https://archive.ph/o/kCXAs/https://web-beta.archive.org/web/20130315140312/http://clopfic.heroku.com/fics/981", "Scootaloo, Sweetie Belle, and an Anonymous Human Have Sex")</f>
        <v>Scootaloo, Sweetie Belle, and an Anonymous Human Have Sex</v>
      </c>
      <c r="C484" s="7" t="s">
        <v>54</v>
      </c>
      <c r="H484" s="8" t="s">
        <v>534</v>
      </c>
      <c r="I484" s="6" t="str">
        <f>HYPERLINK("https://archive.ph/o/kCXAs/https://web-beta.archive.org/web/20130315140312/http://clopfic.heroku.com/authors/148", "AppleloosanPsychiatrist")</f>
        <v>AppleloosanPsychiatrist</v>
      </c>
      <c r="T484" s="7" t="s">
        <v>59</v>
      </c>
      <c r="U484" s="7" t="s">
        <v>60</v>
      </c>
      <c r="Z484" s="7" t="s">
        <v>40</v>
      </c>
      <c r="AF484" s="7" t="s">
        <v>41</v>
      </c>
      <c r="AG484" s="9">
        <v>41014.0</v>
      </c>
      <c r="AH484" s="9">
        <v>41014.0</v>
      </c>
    </row>
    <row r="485">
      <c r="A485" s="6" t="str">
        <f>HYPERLINK("https://archive.ph/o/kCXAs/https://web-beta.archive.org/web/20130315140312/http://clopfic.heroku.com/fics/980", "Twilight's Molestation Celebration")</f>
        <v>Twilight's Molestation Celebration</v>
      </c>
      <c r="G485" s="7" t="s">
        <v>75</v>
      </c>
      <c r="H485" s="8" t="s">
        <v>535</v>
      </c>
      <c r="I485" s="6" t="str">
        <f>HYPERLINK("https://archive.ph/o/kCXAs/https://web-beta.archive.org/web/20130315140312/http://clopfic.heroku.com/authors/247", "One Terrible Writer")</f>
        <v>One Terrible Writer</v>
      </c>
      <c r="J485" s="7" t="s">
        <v>39</v>
      </c>
      <c r="P485" s="7" t="s">
        <v>64</v>
      </c>
      <c r="AG485" s="9">
        <v>41014.0</v>
      </c>
      <c r="AH485" s="9">
        <v>41014.0</v>
      </c>
    </row>
    <row r="486">
      <c r="A486" s="6" t="str">
        <f>HYPERLINK("https://archive.ph/o/kCXAs/https://web-beta.archive.org/web/20130315140312/http://clopfic.heroku.com/fics/853", "The Beat Stream")</f>
        <v>The Beat Stream</v>
      </c>
      <c r="D486" s="7" t="s">
        <v>37</v>
      </c>
      <c r="E486" s="7" t="s">
        <v>44</v>
      </c>
      <c r="H486" s="8" t="s">
        <v>536</v>
      </c>
      <c r="I486" s="6" t="str">
        <f>HYPERLINK("https://archive.ph/o/kCXAs/https://web-beta.archive.org/web/20130315140312/http://clopfic.heroku.com/authors/570", "TimeBomb0")</f>
        <v>TimeBomb0</v>
      </c>
      <c r="Z486" s="7" t="s">
        <v>40</v>
      </c>
      <c r="AE486" s="7" t="s">
        <v>43</v>
      </c>
      <c r="AG486" s="9">
        <v>40974.0</v>
      </c>
      <c r="AH486" s="9">
        <v>41013.0</v>
      </c>
    </row>
    <row r="487">
      <c r="A487" s="6" t="str">
        <f>HYPERLINK("https://archive.ph/o/kCXAs/https://web-beta.archive.org/web/20130315140312/http://clopfic.heroku.com/fics/936", "Young Colts, Tight Bondage")</f>
        <v>Young Colts, Tight Bondage</v>
      </c>
      <c r="D487" s="7" t="s">
        <v>37</v>
      </c>
      <c r="H487" s="8" t="s">
        <v>537</v>
      </c>
      <c r="I487" s="6" t="str">
        <f t="shared" ref="I487:I488" si="15">HYPERLINK("https://archive.ph/o/kCXAs/https://web-beta.archive.org/web/20130315140312/http://clopfic.heroku.com/authors/608", "SwiperTheFox")</f>
        <v>SwiperTheFox</v>
      </c>
      <c r="J487" s="7" t="s">
        <v>39</v>
      </c>
      <c r="R487" s="7" t="s">
        <v>66</v>
      </c>
      <c r="AG487" s="9">
        <v>41003.0</v>
      </c>
      <c r="AH487" s="9">
        <v>41013.0</v>
      </c>
    </row>
    <row r="488">
      <c r="A488" s="6" t="str">
        <f>HYPERLINK("https://archive.ph/o/kCXAs/https://web-beta.archive.org/web/20130315140312/http://clopfic.heroku.com/fics/977", "Black Coffee In Caramel's Bed")</f>
        <v>Black Coffee In Caramel's Bed</v>
      </c>
      <c r="C488" s="7" t="s">
        <v>54</v>
      </c>
      <c r="D488" s="7" t="s">
        <v>37</v>
      </c>
      <c r="E488" s="7" t="s">
        <v>44</v>
      </c>
      <c r="H488" s="8" t="s">
        <v>538</v>
      </c>
      <c r="I488" s="6" t="str">
        <f t="shared" si="15"/>
        <v>SwiperTheFox</v>
      </c>
      <c r="V488" s="7" t="s">
        <v>71</v>
      </c>
      <c r="AE488" s="7" t="s">
        <v>43</v>
      </c>
      <c r="AF488" s="7" t="s">
        <v>41</v>
      </c>
      <c r="AG488" s="9">
        <v>41013.0</v>
      </c>
      <c r="AH488" s="9">
        <v>41013.0</v>
      </c>
    </row>
    <row r="489">
      <c r="A489" s="6" t="str">
        <f>HYPERLINK("https://archive.ph/o/kCXAs/https://web-beta.archive.org/web/20130315140312/http://clopfic.heroku.com/fics/974", "Soaring Hearts")</f>
        <v>Soaring Hearts</v>
      </c>
      <c r="D489" s="7" t="s">
        <v>37</v>
      </c>
      <c r="E489" s="7" t="s">
        <v>44</v>
      </c>
      <c r="H489" s="3"/>
      <c r="I489" s="6" t="str">
        <f>HYPERLINK("https://archive.ph/o/kCXAs/https://web-beta.archive.org/web/20130315140312/http://clopfic.heroku.com/authors/701", "Diceman")</f>
        <v>Diceman</v>
      </c>
      <c r="M489" s="7" t="s">
        <v>56</v>
      </c>
      <c r="AB489" s="7" t="s">
        <v>101</v>
      </c>
      <c r="AE489" s="7" t="s">
        <v>43</v>
      </c>
      <c r="AG489" s="9">
        <v>41012.0</v>
      </c>
      <c r="AH489" s="9">
        <v>41012.0</v>
      </c>
    </row>
    <row r="490">
      <c r="A490" s="6" t="str">
        <f>HYPERLINK("https://archive.ph/o/kCXAs/https://web-beta.archive.org/web/20130315140312/http://clopfic.heroku.com/fics/973", "Cider Desire")</f>
        <v>Cider Desire</v>
      </c>
      <c r="D490" s="7" t="s">
        <v>37</v>
      </c>
      <c r="E490" s="7" t="s">
        <v>44</v>
      </c>
      <c r="H490" s="8" t="s">
        <v>539</v>
      </c>
      <c r="I490" s="6" t="str">
        <f>HYPERLINK("https://archive.ph/o/kCXAs/https://web-beta.archive.org/web/20130315140312/http://clopfic.heroku.com/authors/68", "DarkJester")</f>
        <v>DarkJester</v>
      </c>
      <c r="M490" s="7" t="s">
        <v>56</v>
      </c>
      <c r="AE490" s="7" t="s">
        <v>43</v>
      </c>
      <c r="AG490" s="9">
        <v>41012.0</v>
      </c>
      <c r="AH490" s="9">
        <v>41012.0</v>
      </c>
    </row>
    <row r="491">
      <c r="A491" s="6" t="str">
        <f>HYPERLINK("https://archive.ph/o/kCXAs/https://web-beta.archive.org/web/20130315140312/http://clopfic.heroku.com/fics/972", "Swallowing Caramel")</f>
        <v>Swallowing Caramel</v>
      </c>
      <c r="H491" s="8" t="s">
        <v>540</v>
      </c>
      <c r="I491" s="6" t="str">
        <f>HYPERLINK("https://archive.ph/o/kCXAs/https://web-beta.archive.org/web/20130315140312/http://clopfic.heroku.com/authors/642", "Come Hither")</f>
        <v>Come Hither</v>
      </c>
      <c r="K491" s="7" t="s">
        <v>49</v>
      </c>
      <c r="O491" s="7" t="s">
        <v>51</v>
      </c>
      <c r="AE491" s="7" t="s">
        <v>43</v>
      </c>
      <c r="AG491" s="9">
        <v>41012.0</v>
      </c>
      <c r="AH491" s="9">
        <v>41012.0</v>
      </c>
    </row>
    <row r="492">
      <c r="A492" s="6" t="str">
        <f>HYPERLINK("https://archive.ph/o/kCXAs/https://web-beta.archive.org/web/20130315140312/http://clopfic.heroku.com/fics/971", "Discord's Afternoon Snack")</f>
        <v>Discord's Afternoon Snack</v>
      </c>
      <c r="D492" s="7" t="s">
        <v>37</v>
      </c>
      <c r="E492" s="7" t="s">
        <v>44</v>
      </c>
      <c r="H492" s="8" t="s">
        <v>541</v>
      </c>
      <c r="I492" s="6" t="str">
        <f>HYPERLINK("https://archive.ph/o/kCXAs/https://web-beta.archive.org/web/20130315140312/http://clopfic.heroku.com/authors/608", "SwiperTheFox")</f>
        <v>SwiperTheFox</v>
      </c>
      <c r="P492" s="7" t="s">
        <v>64</v>
      </c>
      <c r="Q492" s="7" t="s">
        <v>65</v>
      </c>
      <c r="AE492" s="7" t="s">
        <v>43</v>
      </c>
      <c r="AG492" s="9">
        <v>41012.0</v>
      </c>
      <c r="AH492" s="9">
        <v>41012.0</v>
      </c>
    </row>
    <row r="493">
      <c r="A493" s="6" t="str">
        <f>HYPERLINK("https://archive.ph/o/kCXAs/https://web-beta.archive.org/web/20130315140312/http://clopfic.heroku.com/fics/970", "The Great and Powerful Ship")</f>
        <v>The Great and Powerful Ship</v>
      </c>
      <c r="C493" s="7" t="s">
        <v>54</v>
      </c>
      <c r="E493" s="7" t="s">
        <v>44</v>
      </c>
      <c r="H493" s="8" t="s">
        <v>542</v>
      </c>
      <c r="I493" s="6" t="str">
        <f>HYPERLINK("https://archive.ph/o/kCXAs/https://web-beta.archive.org/web/20130315140312/http://clopfic.heroku.com/authors/700", "Tittyhawk")</f>
        <v>Tittyhawk</v>
      </c>
      <c r="W493" s="7" t="s">
        <v>69</v>
      </c>
      <c r="AF493" s="7" t="s">
        <v>41</v>
      </c>
      <c r="AG493" s="9">
        <v>41011.0</v>
      </c>
      <c r="AH493" s="9">
        <v>41011.0</v>
      </c>
    </row>
    <row r="494">
      <c r="A494" s="6" t="str">
        <f>HYPERLINK("https://archive.ph/o/kCXAs/https://web-beta.archive.org/web/20130315140312/http://clopfic.heroku.com/fics/871", "Spike's Curiosity")</f>
        <v>Spike's Curiosity</v>
      </c>
      <c r="E494" s="7" t="s">
        <v>44</v>
      </c>
      <c r="F494" s="7" t="s">
        <v>52</v>
      </c>
      <c r="H494" s="8" t="s">
        <v>543</v>
      </c>
      <c r="I494" s="6" t="str">
        <f>HYPERLINK("https://archive.ph/o/kCXAs/https://web-beta.archive.org/web/20130315140312/http://clopfic.heroku.com/authors/620", "Desolated Brony")</f>
        <v>Desolated Brony</v>
      </c>
      <c r="J494" s="7" t="s">
        <v>39</v>
      </c>
      <c r="R494" s="7" t="s">
        <v>66</v>
      </c>
      <c r="S494" s="7" t="s">
        <v>68</v>
      </c>
      <c r="T494" s="7" t="s">
        <v>59</v>
      </c>
      <c r="U494" s="7" t="s">
        <v>60</v>
      </c>
      <c r="AG494" s="9">
        <v>40980.0</v>
      </c>
      <c r="AH494" s="9">
        <v>41011.0</v>
      </c>
    </row>
    <row r="495">
      <c r="A495" s="6" t="str">
        <f>HYPERLINK("https://archive.ph/o/kCXAs/https://web-beta.archive.org/web/20130315140312/http://clopfic.heroku.com/fics/947", "Avalon")</f>
        <v>Avalon</v>
      </c>
      <c r="E495" s="7" t="s">
        <v>44</v>
      </c>
      <c r="H495" s="8" t="s">
        <v>544</v>
      </c>
      <c r="I495" s="6" t="str">
        <f t="shared" ref="I495:I496" si="16">HYPERLINK("https://archive.ph/o/kCXAs/https://web-beta.archive.org/web/20130315140312/http://clopfic.heroku.com/authors/608", "SwiperTheFox")</f>
        <v>SwiperTheFox</v>
      </c>
      <c r="Z495" s="7" t="s">
        <v>40</v>
      </c>
      <c r="AA495" s="7" t="s">
        <v>113</v>
      </c>
      <c r="AF495" s="7" t="s">
        <v>41</v>
      </c>
      <c r="AG495" s="9">
        <v>41007.0</v>
      </c>
      <c r="AH495" s="9">
        <v>41011.0</v>
      </c>
    </row>
    <row r="496">
      <c r="A496" s="6" t="str">
        <f>HYPERLINK("https://archive.ph/o/kCXAs/https://web-beta.archive.org/web/20130315140312/http://clopfic.heroku.com/fics/969", "Trixie's New Assistant")</f>
        <v>Trixie's New Assistant</v>
      </c>
      <c r="C496" s="7" t="s">
        <v>54</v>
      </c>
      <c r="E496" s="7" t="s">
        <v>44</v>
      </c>
      <c r="H496" s="8" t="s">
        <v>545</v>
      </c>
      <c r="I496" s="6" t="str">
        <f t="shared" si="16"/>
        <v>SwiperTheFox</v>
      </c>
      <c r="W496" s="7" t="s">
        <v>69</v>
      </c>
      <c r="AE496" s="7" t="s">
        <v>43</v>
      </c>
      <c r="AF496" s="7" t="s">
        <v>41</v>
      </c>
      <c r="AG496" s="9">
        <v>41011.0</v>
      </c>
      <c r="AH496" s="9">
        <v>41011.0</v>
      </c>
    </row>
    <row r="497">
      <c r="A497" s="6" t="str">
        <f>HYPERLINK("https://archive.ph/o/kCXAs/https://web-beta.archive.org/web/20130315140312/http://clopfic.heroku.com/fics/874", "The Sexy Adventures of [Insert Your Name Here] 2")</f>
        <v>The Sexy Adventures of [Insert Your Name Here] 2</v>
      </c>
      <c r="B497" s="7" t="s">
        <v>36</v>
      </c>
      <c r="D497" s="7" t="s">
        <v>37</v>
      </c>
      <c r="E497" s="7" t="s">
        <v>44</v>
      </c>
      <c r="H497" s="8" t="s">
        <v>546</v>
      </c>
      <c r="I497" s="6" t="str">
        <f>HYPERLINK("https://archive.ph/o/kCXAs/https://web-beta.archive.org/web/20130315140312/http://clopfic.heroku.com/authors/193", "TheCrazyDumbass")</f>
        <v>TheCrazyDumbass</v>
      </c>
      <c r="M497" s="7" t="s">
        <v>56</v>
      </c>
      <c r="P497" s="7" t="s">
        <v>64</v>
      </c>
      <c r="Z497" s="7" t="s">
        <v>40</v>
      </c>
      <c r="AF497" s="7" t="s">
        <v>41</v>
      </c>
      <c r="AG497" s="9">
        <v>40980.0</v>
      </c>
      <c r="AH497" s="9">
        <v>41010.0</v>
      </c>
    </row>
    <row r="498">
      <c r="A498" s="6" t="str">
        <f>HYPERLINK("https://archive.ph/o/kCXAs/https://web-beta.archive.org/web/20130315140312/http://clopfic.heroku.com/fics/968", "A Day of Vacation")</f>
        <v>A Day of Vacation</v>
      </c>
      <c r="C498" s="7" t="s">
        <v>54</v>
      </c>
      <c r="F498" s="7" t="s">
        <v>52</v>
      </c>
      <c r="H498" s="8" t="s">
        <v>547</v>
      </c>
      <c r="I498" s="6" t="str">
        <f>HYPERLINK("https://archive.ph/o/kCXAs/https://web-beta.archive.org/web/20130315140312/http://clopfic.heroku.com/authors/695", "PonyWifeAsshole")</f>
        <v>PonyWifeAsshole</v>
      </c>
      <c r="P498" s="7" t="s">
        <v>64</v>
      </c>
      <c r="Q498" s="7" t="s">
        <v>65</v>
      </c>
      <c r="Z498" s="7" t="s">
        <v>40</v>
      </c>
      <c r="AF498" s="7" t="s">
        <v>41</v>
      </c>
      <c r="AG498" s="9">
        <v>41010.0</v>
      </c>
      <c r="AH498" s="9">
        <v>41010.0</v>
      </c>
    </row>
    <row r="499">
      <c r="A499" s="6" t="str">
        <f>HYPERLINK("https://archive.ph/o/kCXAs/https://web-beta.archive.org/web/20130315140312/http://clopfic.heroku.com/fics/965", "May the Best Butt Win")</f>
        <v>May the Best Butt Win</v>
      </c>
      <c r="D499" s="7" t="s">
        <v>37</v>
      </c>
      <c r="H499" s="8" t="s">
        <v>548</v>
      </c>
      <c r="I499" s="6" t="str">
        <f>HYPERLINK("https://archive.ph/o/kCXAs/https://web-beta.archive.org/web/20130315140312/http://clopfic.heroku.com/authors/675", "darf")</f>
        <v>darf</v>
      </c>
      <c r="L499" s="7" t="s">
        <v>62</v>
      </c>
      <c r="Z499" s="7" t="s">
        <v>40</v>
      </c>
      <c r="AA499" s="7" t="s">
        <v>113</v>
      </c>
      <c r="AF499" s="7" t="s">
        <v>41</v>
      </c>
      <c r="AG499" s="9">
        <v>41010.0</v>
      </c>
      <c r="AH499" s="9">
        <v>41010.0</v>
      </c>
    </row>
    <row r="500">
      <c r="A500" s="6" t="str">
        <f>HYPERLINK("https://archive.ph/o/kCXAs/https://web-beta.archive.org/web/20130315140312/http://clopfic.heroku.com/fics/964", "Celestial Madness")</f>
        <v>Celestial Madness</v>
      </c>
      <c r="B500" s="7" t="s">
        <v>36</v>
      </c>
      <c r="H500" s="8" t="s">
        <v>549</v>
      </c>
      <c r="I500" s="6" t="str">
        <f>HYPERLINK("https://archive.ph/o/kCXAs/https://web-beta.archive.org/web/20130315140312/http://clopfic.heroku.com/authors/672", "Plotface")</f>
        <v>Plotface</v>
      </c>
      <c r="P500" s="7" t="s">
        <v>64</v>
      </c>
      <c r="Q500" s="7" t="s">
        <v>65</v>
      </c>
      <c r="AG500" s="9">
        <v>41010.0</v>
      </c>
      <c r="AH500" s="9">
        <v>41010.0</v>
      </c>
    </row>
    <row r="501">
      <c r="A501" s="6" t="str">
        <f>HYPERLINK("https://archive.ph/o/kCXAs/https://web-beta.archive.org/web/20130315140312/http://clopfic.heroku.com/fics/963", "The ponies sexually precocious ")</f>
        <v>The ponies sexually precocious </v>
      </c>
      <c r="D501" s="7" t="s">
        <v>37</v>
      </c>
      <c r="F501" s="7" t="s">
        <v>52</v>
      </c>
      <c r="H501" s="8" t="s">
        <v>550</v>
      </c>
      <c r="I501" s="6" t="str">
        <f>HYPERLINK("https://archive.ph/o/kCXAs/https://web-beta.archive.org/web/20130315140312/http://clopfic.heroku.com/fics", "/fics")</f>
        <v>/fics</v>
      </c>
      <c r="J501" s="7" t="s">
        <v>39</v>
      </c>
      <c r="K501" s="7" t="s">
        <v>49</v>
      </c>
      <c r="L501" s="7" t="s">
        <v>62</v>
      </c>
      <c r="M501" s="7" t="s">
        <v>56</v>
      </c>
      <c r="N501" s="7" t="s">
        <v>47</v>
      </c>
      <c r="O501" s="7" t="s">
        <v>51</v>
      </c>
      <c r="AG501" s="9">
        <v>41010.0</v>
      </c>
      <c r="AH501" s="9">
        <v>41010.0</v>
      </c>
    </row>
    <row r="502">
      <c r="A502" s="6" t="str">
        <f>HYPERLINK("https://archive.ph/o/kCXAs/https://web-beta.archive.org/web/20130315140312/http://clopfic.heroku.com/fics/962", "A study into the viability of homo sapien/equine reproducibility.")</f>
        <v>A study into the viability of homo sapien/equine reproducibility.</v>
      </c>
      <c r="C502" s="7" t="s">
        <v>54</v>
      </c>
      <c r="E502" s="7" t="s">
        <v>44</v>
      </c>
      <c r="H502" s="8" t="s">
        <v>551</v>
      </c>
      <c r="I502" s="6" t="str">
        <f>HYPERLINK("https://archive.ph/o/kCXAs/https://web-beta.archive.org/web/20130315140312/http://clopfic.heroku.com/authors/253", "TAW")</f>
        <v>TAW</v>
      </c>
      <c r="J502" s="7" t="s">
        <v>39</v>
      </c>
      <c r="L502" s="7" t="s">
        <v>62</v>
      </c>
      <c r="Z502" s="7" t="s">
        <v>40</v>
      </c>
      <c r="AF502" s="7" t="s">
        <v>41</v>
      </c>
      <c r="AG502" s="9">
        <v>41009.0</v>
      </c>
      <c r="AH502" s="9">
        <v>41009.0</v>
      </c>
    </row>
    <row r="503">
      <c r="A503" s="6" t="str">
        <f>HYPERLINK("https://archive.ph/o/kCXAs/https://web-beta.archive.org/web/20130315140312/http://clopfic.heroku.com/fics/961", "Showtime, Kid")</f>
        <v>Showtime, Kid</v>
      </c>
      <c r="C503" s="7" t="s">
        <v>54</v>
      </c>
      <c r="F503" s="7" t="s">
        <v>52</v>
      </c>
      <c r="H503" s="8" t="s">
        <v>552</v>
      </c>
      <c r="I503" s="6" t="str">
        <f>HYPERLINK("https://archive.ph/o/kCXAs/https://web-beta.archive.org/web/20130315140312/http://clopfic.heroku.com/authors/695", "PonyWifeAsshole")</f>
        <v>PonyWifeAsshole</v>
      </c>
      <c r="Z503" s="7" t="s">
        <v>40</v>
      </c>
      <c r="AE503" s="7" t="s">
        <v>43</v>
      </c>
      <c r="AG503" s="9">
        <v>41009.0</v>
      </c>
      <c r="AH503" s="9">
        <v>41009.0</v>
      </c>
    </row>
    <row r="504">
      <c r="A504" s="6" t="str">
        <f>HYPERLINK("https://archive.ph/o/kCXAs/https://web-beta.archive.org/web/20130315140312/http://clopfic.heroku.com/fics/960", "The Secret Life of Celestia")</f>
        <v>The Secret Life of Celestia</v>
      </c>
      <c r="F504" s="7" t="s">
        <v>52</v>
      </c>
      <c r="H504" s="8" t="s">
        <v>553</v>
      </c>
      <c r="I504" s="6" t="str">
        <f>HYPERLINK("https://archive.ph/o/kCXAs/https://web-beta.archive.org/web/20130315140312/http://clopfic.heroku.com/authors/681", "Anonymous Pegasus")</f>
        <v>Anonymous Pegasus</v>
      </c>
      <c r="J504" s="7" t="s">
        <v>39</v>
      </c>
      <c r="P504" s="7" t="s">
        <v>64</v>
      </c>
      <c r="AG504" s="9">
        <v>41008.0</v>
      </c>
      <c r="AH504" s="9">
        <v>41008.0</v>
      </c>
    </row>
    <row r="505">
      <c r="A505" s="6" t="str">
        <f>HYPERLINK("https://archive.ph/o/kCXAs/https://web-beta.archive.org/web/20130315140312/http://clopfic.heroku.com/fics/946", "Animal Husbandry 2: He's So Screwed")</f>
        <v>Animal Husbandry 2: He's So Screwed</v>
      </c>
      <c r="C505" s="7" t="s">
        <v>54</v>
      </c>
      <c r="D505" s="7" t="s">
        <v>37</v>
      </c>
      <c r="E505" s="7" t="s">
        <v>44</v>
      </c>
      <c r="H505" s="8" t="s">
        <v>554</v>
      </c>
      <c r="I505" s="6" t="str">
        <f>HYPERLINK("https://archive.ph/o/kCXAs/https://web-beta.archive.org/web/20130315140312/http://clopfic.heroku.com/authors/626", "Standard Namespace")</f>
        <v>Standard Namespace</v>
      </c>
      <c r="K505" s="7" t="s">
        <v>49</v>
      </c>
      <c r="Z505" s="7" t="s">
        <v>40</v>
      </c>
      <c r="AF505" s="7" t="s">
        <v>41</v>
      </c>
      <c r="AG505" s="9">
        <v>41006.0</v>
      </c>
      <c r="AH505" s="9">
        <v>41008.0</v>
      </c>
    </row>
    <row r="506">
      <c r="A506" s="6" t="str">
        <f>HYPERLINK("https://archive.ph/o/kCXAs/https://web-beta.archive.org/web/20130315140312/http://clopfic.heroku.com/fics/955", "A Pony for a Princess")</f>
        <v>A Pony for a Princess</v>
      </c>
      <c r="B506" s="7" t="s">
        <v>36</v>
      </c>
      <c r="E506" s="7" t="s">
        <v>44</v>
      </c>
      <c r="H506" s="8" t="s">
        <v>555</v>
      </c>
      <c r="I506" s="6" t="str">
        <f>HYPERLINK("https://archive.ph/o/kCXAs/https://web-beta.archive.org/web/20130315140312/http://clopfic.heroku.com/authors/689", "ChrisPlummer")</f>
        <v>ChrisPlummer</v>
      </c>
      <c r="Z506" s="7" t="s">
        <v>40</v>
      </c>
      <c r="AF506" s="7" t="s">
        <v>41</v>
      </c>
      <c r="AG506" s="9">
        <v>41008.0</v>
      </c>
      <c r="AH506" s="9">
        <v>41008.0</v>
      </c>
    </row>
    <row r="507">
      <c r="A507" s="6" t="str">
        <f>HYPERLINK("https://archive.ph/o/kCXAs/https://web-beta.archive.org/web/20130315140312/http://clopfic.heroku.com/fics/959", "Das Scoot")</f>
        <v>Das Scoot</v>
      </c>
      <c r="H507" s="8" t="s">
        <v>556</v>
      </c>
      <c r="I507" s="6" t="str">
        <f>HYPERLINK("https://archive.ph/o/kCXAs/https://web-beta.archive.org/web/20130315140312/http://clopfic.heroku.com/authors/253", "TAW")</f>
        <v>TAW</v>
      </c>
      <c r="T507" s="7" t="s">
        <v>59</v>
      </c>
      <c r="AG507" s="9">
        <v>41008.0</v>
      </c>
      <c r="AH507" s="9">
        <v>41008.0</v>
      </c>
    </row>
    <row r="508">
      <c r="A508" s="6" t="str">
        <f>HYPERLINK("https://archive.ph/o/kCXAs/https://web-beta.archive.org/web/20130315140312/http://clopfic.heroku.com/fics/958", "Let Them Eat Cake")</f>
        <v>Let Them Eat Cake</v>
      </c>
      <c r="D508" s="7" t="s">
        <v>37</v>
      </c>
      <c r="E508" s="7" t="s">
        <v>44</v>
      </c>
      <c r="H508" s="8" t="s">
        <v>557</v>
      </c>
      <c r="I508" s="6" t="str">
        <f>HYPERLINK("https://archive.ph/o/kCXAs/https://web-beta.archive.org/web/20130315140312/http://clopfic.heroku.com/authors/675", "darf")</f>
        <v>darf</v>
      </c>
      <c r="P508" s="7" t="s">
        <v>64</v>
      </c>
      <c r="AF508" s="7" t="s">
        <v>41</v>
      </c>
      <c r="AG508" s="9">
        <v>41008.0</v>
      </c>
      <c r="AH508" s="9">
        <v>41008.0</v>
      </c>
    </row>
    <row r="509">
      <c r="A509" s="6" t="str">
        <f>HYPERLINK("https://archive.ph/o/kCXAs/https://web-beta.archive.org/web/20130315140312/http://clopfic.heroku.com/fics/957", "MMMolestation on the Friendship Express")</f>
        <v>MMMolestation on the Friendship Express</v>
      </c>
      <c r="B509" s="7" t="s">
        <v>36</v>
      </c>
      <c r="H509" s="8" t="s">
        <v>558</v>
      </c>
      <c r="I509" s="6" t="str">
        <f>HYPERLINK("https://archive.ph/o/kCXAs/https://web-beta.archive.org/web/20130315140312/http://clopfic.heroku.com/authors/247", "One Terrible Writer")</f>
        <v>One Terrible Writer</v>
      </c>
      <c r="J509" s="7" t="s">
        <v>39</v>
      </c>
      <c r="K509" s="7" t="s">
        <v>49</v>
      </c>
      <c r="AG509" s="9">
        <v>41008.0</v>
      </c>
      <c r="AH509" s="9">
        <v>41008.0</v>
      </c>
    </row>
    <row r="510">
      <c r="A510" s="6" t="str">
        <f>HYPERLINK("https://archive.ph/o/kCXAs/https://web-beta.archive.org/web/20130315140312/http://clopfic.heroku.com/fics/956", "Unicorns")</f>
        <v>Unicorns</v>
      </c>
      <c r="E510" s="7" t="s">
        <v>44</v>
      </c>
      <c r="H510" s="8" t="s">
        <v>559</v>
      </c>
      <c r="I510" s="6" t="str">
        <f>HYPERLINK("https://archive.ph/o/kCXAs/https://web-beta.archive.org/web/20130315140312/http://clopfic.heroku.com/authors/690", "Books")</f>
        <v>Books</v>
      </c>
      <c r="J510" s="7" t="s">
        <v>39</v>
      </c>
      <c r="K510" s="7" t="s">
        <v>49</v>
      </c>
      <c r="L510" s="7" t="s">
        <v>62</v>
      </c>
      <c r="M510" s="7" t="s">
        <v>56</v>
      </c>
      <c r="N510" s="7" t="s">
        <v>47</v>
      </c>
      <c r="O510" s="7" t="s">
        <v>51</v>
      </c>
      <c r="AG510" s="9">
        <v>41008.0</v>
      </c>
      <c r="AH510" s="9">
        <v>41008.0</v>
      </c>
    </row>
    <row r="511">
      <c r="A511" s="6" t="str">
        <f>HYPERLINK("https://archive.ph/o/kCXAs/https://web-beta.archive.org/web/20130315140312/http://clopfic.heroku.com/fics/954", "My little Problem ver. II ")</f>
        <v>My little Problem ver. II </v>
      </c>
      <c r="C511" s="7" t="s">
        <v>54</v>
      </c>
      <c r="E511" s="7" t="s">
        <v>44</v>
      </c>
      <c r="H511" s="8" t="s">
        <v>560</v>
      </c>
      <c r="I511" s="6" t="str">
        <f>HYPERLINK("https://archive.ph/o/kCXAs/https://web-beta.archive.org/web/20130315140312/http://clopfic.heroku.com/authors/673", "Ghost121")</f>
        <v>Ghost121</v>
      </c>
      <c r="M511" s="7" t="s">
        <v>56</v>
      </c>
      <c r="Z511" s="7" t="s">
        <v>40</v>
      </c>
      <c r="AF511" s="7" t="s">
        <v>41</v>
      </c>
      <c r="AG511" s="9">
        <v>41007.0</v>
      </c>
      <c r="AH511" s="9">
        <v>41007.0</v>
      </c>
    </row>
    <row r="512">
      <c r="A512" s="6" t="str">
        <f>HYPERLINK("https://archive.ph/o/kCXAs/https://web-beta.archive.org/web/20130315140312/http://clopfic.heroku.com/fics/953", "Fluttershy's Tree")</f>
        <v>Fluttershy's Tree</v>
      </c>
      <c r="D512" s="7" t="s">
        <v>37</v>
      </c>
      <c r="E512" s="7" t="s">
        <v>44</v>
      </c>
      <c r="F512" s="7" t="s">
        <v>52</v>
      </c>
      <c r="H512" s="8" t="s">
        <v>561</v>
      </c>
      <c r="I512" s="6" t="str">
        <f>HYPERLINK("https://archive.ph/o/kCXAs/https://web-beta.archive.org/web/20130315140312/http://clopfic.heroku.com/authors/237", "HighLevelTeen")</f>
        <v>HighLevelTeen</v>
      </c>
      <c r="O512" s="7" t="s">
        <v>51</v>
      </c>
      <c r="AG512" s="9">
        <v>41007.0</v>
      </c>
      <c r="AH512" s="9">
        <v>41007.0</v>
      </c>
    </row>
    <row r="513">
      <c r="A513" s="6" t="str">
        <f>HYPERLINK("https://archive.ph/o/kCXAs/https://web-beta.archive.org/web/20130315140312/http://clopfic.heroku.com/fics/952", "Speed Run")</f>
        <v>Speed Run</v>
      </c>
      <c r="E513" s="7" t="s">
        <v>44</v>
      </c>
      <c r="H513" s="8" t="s">
        <v>562</v>
      </c>
      <c r="I513" s="6" t="str">
        <f>HYPERLINK("https://archive.ph/o/kCXAs/https://web-beta.archive.org/web/20130315140312/http://clopfic.heroku.com/authors/355", "Liquid Rainbows")</f>
        <v>Liquid Rainbows</v>
      </c>
      <c r="AE513" s="7" t="s">
        <v>43</v>
      </c>
      <c r="AF513" s="7" t="s">
        <v>41</v>
      </c>
      <c r="AG513" s="9">
        <v>41007.0</v>
      </c>
      <c r="AH513" s="9">
        <v>41007.0</v>
      </c>
    </row>
    <row r="514">
      <c r="A514" s="6" t="str">
        <f>HYPERLINK("https://archive.ph/o/kCXAs/https://web-beta.archive.org/web/20130315140312/http://clopfic.heroku.com/fics/949", "My Little Problem")</f>
        <v>My Little Problem</v>
      </c>
      <c r="C514" s="7" t="s">
        <v>54</v>
      </c>
      <c r="E514" s="7" t="s">
        <v>44</v>
      </c>
      <c r="H514" s="8" t="s">
        <v>563</v>
      </c>
      <c r="I514" s="6" t="str">
        <f>HYPERLINK("https://archive.ph/o/kCXAs/https://web-beta.archive.org/web/20130315140312/http://clopfic.heroku.com/authors/686", "PonyToast")</f>
        <v>PonyToast</v>
      </c>
      <c r="M514" s="7" t="s">
        <v>56</v>
      </c>
      <c r="AG514" s="9">
        <v>41007.0</v>
      </c>
      <c r="AH514" s="9">
        <v>41007.0</v>
      </c>
    </row>
    <row r="515">
      <c r="A515" s="6" t="str">
        <f>HYPERLINK("https://archive.ph/o/kCXAs/https://web-beta.archive.org/web/20130315140312/http://clopfic.heroku.com/fics/948", "So Close, Yet So Far")</f>
        <v>So Close, Yet So Far</v>
      </c>
      <c r="E515" s="7" t="s">
        <v>44</v>
      </c>
      <c r="H515" s="8" t="s">
        <v>564</v>
      </c>
      <c r="I515" s="6" t="str">
        <f>HYPERLINK("https://archive.ph/o/kCXAs/https://web-beta.archive.org/web/20130315140312/http://clopfic.heroku.com/authors/675", "darf")</f>
        <v>darf</v>
      </c>
      <c r="J515" s="7" t="s">
        <v>39</v>
      </c>
      <c r="R515" s="7" t="s">
        <v>66</v>
      </c>
      <c r="AG515" s="9">
        <v>41007.0</v>
      </c>
      <c r="AH515" s="9">
        <v>41007.0</v>
      </c>
    </row>
    <row r="516">
      <c r="A516" s="6" t="str">
        <f>HYPERLINK("https://archive.ph/o/kCXAs/https://web-beta.archive.org/web/20130315140312/http://clopfic.heroku.com/fics/945", "The night of their lives")</f>
        <v>The night of their lives</v>
      </c>
      <c r="E516" s="7" t="s">
        <v>44</v>
      </c>
      <c r="H516" s="8" t="s">
        <v>565</v>
      </c>
      <c r="I516" s="6" t="str">
        <f>HYPERLINK("https://archive.ph/o/kCXAs/https://web-beta.archive.org/web/20130315140312/http://clopfic.heroku.com/authors/684", "Ch0pper")</f>
        <v>Ch0pper</v>
      </c>
      <c r="J516" s="7" t="s">
        <v>39</v>
      </c>
      <c r="N516" s="7" t="s">
        <v>47</v>
      </c>
      <c r="Z516" s="7" t="s">
        <v>40</v>
      </c>
      <c r="AB516" s="7" t="s">
        <v>101</v>
      </c>
      <c r="AG516" s="9">
        <v>41006.0</v>
      </c>
      <c r="AH516" s="9">
        <v>41006.0</v>
      </c>
    </row>
    <row r="517">
      <c r="A517" s="6" t="str">
        <f>HYPERLINK("https://archive.ph/o/kCXAs/https://web-beta.archive.org/web/20130315140312/http://clopfic.heroku.com/fics/944", "An Hour Alone with Rarity")</f>
        <v>An Hour Alone with Rarity</v>
      </c>
      <c r="C517" s="7" t="s">
        <v>54</v>
      </c>
      <c r="E517" s="7" t="s">
        <v>44</v>
      </c>
      <c r="H517" s="8" t="s">
        <v>566</v>
      </c>
      <c r="I517" s="6" t="str">
        <f>HYPERLINK("https://archive.ph/o/kCXAs/https://web-beta.archive.org/web/20130315140312/http://clopfic.heroku.com/authors/682", "Phil Argus")</f>
        <v>Phil Argus</v>
      </c>
      <c r="N517" s="7" t="s">
        <v>47</v>
      </c>
      <c r="Z517" s="7" t="s">
        <v>40</v>
      </c>
      <c r="AF517" s="7" t="s">
        <v>41</v>
      </c>
      <c r="AG517" s="9">
        <v>41005.0</v>
      </c>
      <c r="AH517" s="9">
        <v>41005.0</v>
      </c>
    </row>
    <row r="518">
      <c r="A518" s="6" t="str">
        <f>HYPERLINK("https://archive.ph/o/kCXAs/https://web-beta.archive.org/web/20130315140312/http://clopfic.heroku.com/fics/943", "Custos Cor")</f>
        <v>Custos Cor</v>
      </c>
      <c r="E518" s="7" t="s">
        <v>44</v>
      </c>
      <c r="H518" s="8" t="s">
        <v>567</v>
      </c>
      <c r="I518" s="6" t="str">
        <f>HYPERLINK("https://archive.ph/o/kCXAs/https://web-beta.archive.org/web/20130315140312/http://clopfic.heroku.com/authors/681", "Anonymous Pegasus")</f>
        <v>Anonymous Pegasus</v>
      </c>
      <c r="Q518" s="7" t="s">
        <v>65</v>
      </c>
      <c r="Z518" s="7" t="s">
        <v>40</v>
      </c>
      <c r="AF518" s="7" t="s">
        <v>41</v>
      </c>
      <c r="AG518" s="9">
        <v>41005.0</v>
      </c>
      <c r="AH518" s="9">
        <v>41005.0</v>
      </c>
    </row>
    <row r="519">
      <c r="A519" s="6" t="str">
        <f>HYPERLINK("https://archive.ph/o/kCXAs/https://web-beta.archive.org/web/20130315140312/http://clopfic.heroku.com/fics/941", "Twilight's Gradual Descent Into Sluttiness")</f>
        <v>Twilight's Gradual Descent Into Sluttiness</v>
      </c>
      <c r="B519" s="7" t="s">
        <v>36</v>
      </c>
      <c r="D519" s="7" t="s">
        <v>37</v>
      </c>
      <c r="H519" s="8" t="s">
        <v>568</v>
      </c>
      <c r="I519" s="6" t="str">
        <f>HYPERLINK("https://archive.ph/o/kCXAs/https://web-beta.archive.org/web/20130315140312/http://clopfic.heroku.com/authors/675", "darf")</f>
        <v>darf</v>
      </c>
      <c r="J519" s="7" t="s">
        <v>39</v>
      </c>
      <c r="R519" s="7" t="s">
        <v>66</v>
      </c>
      <c r="Z519" s="7" t="s">
        <v>40</v>
      </c>
      <c r="AE519" s="7" t="s">
        <v>43</v>
      </c>
      <c r="AG519" s="9">
        <v>41004.0</v>
      </c>
      <c r="AH519" s="9">
        <v>41004.0</v>
      </c>
    </row>
    <row r="520">
      <c r="A520" s="6" t="str">
        <f>HYPERLINK("https://archive.ph/o/kCXAs/https://web-beta.archive.org/web/20130315140312/http://clopfic.heroku.com/fics/940", "The Candy Store")</f>
        <v>The Candy Store</v>
      </c>
      <c r="D520" s="7" t="s">
        <v>37</v>
      </c>
      <c r="H520" s="8" t="s">
        <v>569</v>
      </c>
      <c r="I520" s="6" t="str">
        <f>HYPERLINK("https://archive.ph/o/kCXAs/https://web-beta.archive.org/web/20130315140312/http://clopfic.heroku.com/authors/681", "Anonymous Pegasus")</f>
        <v>Anonymous Pegasus</v>
      </c>
      <c r="K520" s="7" t="s">
        <v>49</v>
      </c>
      <c r="Z520" s="7" t="s">
        <v>40</v>
      </c>
      <c r="AF520" s="7" t="s">
        <v>41</v>
      </c>
      <c r="AG520" s="9">
        <v>41004.0</v>
      </c>
      <c r="AH520" s="9">
        <v>41004.0</v>
      </c>
    </row>
    <row r="521">
      <c r="A521" s="6" t="str">
        <f>HYPERLINK("https://archive.ph/o/kCXAs/https://web-beta.archive.org/web/20130315140312/http://clopfic.heroku.com/fics/939", "Field Notes on Alicorn Reproductive Behavior")</f>
        <v>Field Notes on Alicorn Reproductive Behavior</v>
      </c>
      <c r="D521" s="7" t="s">
        <v>37</v>
      </c>
      <c r="E521" s="7" t="s">
        <v>44</v>
      </c>
      <c r="H521" s="8" t="s">
        <v>570</v>
      </c>
      <c r="I521" s="6" t="str">
        <f>HYPERLINK("https://archive.ph/o/kCXAs/https://web-beta.archive.org/web/20130315140312/http://clopfic.heroku.com/authors/680", "biologic orthodoxy")</f>
        <v>biologic orthodoxy</v>
      </c>
      <c r="J521" s="7" t="s">
        <v>39</v>
      </c>
      <c r="P521" s="7" t="s">
        <v>64</v>
      </c>
      <c r="AG521" s="9">
        <v>41004.0</v>
      </c>
      <c r="AH521" s="9">
        <v>41004.0</v>
      </c>
    </row>
    <row r="522">
      <c r="A522" s="6" t="str">
        <f>HYPERLINK("https://archive.ph/o/kCXAs/https://web-beta.archive.org/web/20130315140312/http://clopfic.heroku.com/fics/920", "Late Night Clopfiction")</f>
        <v>Late Night Clopfiction</v>
      </c>
      <c r="E522" s="7" t="s">
        <v>44</v>
      </c>
      <c r="H522" s="8" t="s">
        <v>571</v>
      </c>
      <c r="I522" s="6" t="str">
        <f>HYPERLINK("https://archive.ph/o/kCXAs/https://web-beta.archive.org/web/20130315140312/http://clopfic.heroku.com/authors/180", "Anonymous")</f>
        <v>Anonymous</v>
      </c>
      <c r="J522" s="7" t="s">
        <v>39</v>
      </c>
      <c r="Q522" s="7" t="s">
        <v>65</v>
      </c>
      <c r="W522" s="7" t="s">
        <v>69</v>
      </c>
      <c r="AG522" s="9">
        <v>41000.0</v>
      </c>
      <c r="AH522" s="9">
        <v>41004.0</v>
      </c>
    </row>
    <row r="523">
      <c r="A523" s="6" t="str">
        <f>HYPERLINK("https://archive.ph/o/kCXAs/https://web-beta.archive.org/web/20130315140312/http://clopfic.heroku.com/fics/937", "A Million Stars")</f>
        <v>A Million Stars</v>
      </c>
      <c r="E523" s="7" t="s">
        <v>44</v>
      </c>
      <c r="H523" s="8" t="s">
        <v>572</v>
      </c>
      <c r="I523" s="6" t="str">
        <f>HYPERLINK("https://archive.ph/o/kCXAs/https://web-beta.archive.org/web/20130315140312/http://clopfic.heroku.com/authors/799", "celestiawept")</f>
        <v>celestiawept</v>
      </c>
      <c r="K523" s="7" t="s">
        <v>49</v>
      </c>
      <c r="M523" s="7" t="s">
        <v>56</v>
      </c>
      <c r="AG523" s="9">
        <v>41004.0</v>
      </c>
      <c r="AH523" s="9">
        <v>41004.0</v>
      </c>
    </row>
    <row r="524">
      <c r="A524" s="6" t="str">
        <f>HYPERLINK("https://archive.ph/o/kCXAs/https://web-beta.archive.org/web/20130315140312/http://clopfic.heroku.com/fics/935", "My Little Fortress : Losing is Fun")</f>
        <v>My Little Fortress : Losing is Fun</v>
      </c>
      <c r="B524" s="7" t="s">
        <v>36</v>
      </c>
      <c r="E524" s="7" t="s">
        <v>44</v>
      </c>
      <c r="F524" s="7" t="s">
        <v>52</v>
      </c>
      <c r="H524" s="8" t="s">
        <v>573</v>
      </c>
      <c r="I524" s="6" t="str">
        <f t="shared" ref="I524:I525" si="17">HYPERLINK("https://archive.ph/o/kCXAs/https://web-beta.archive.org/web/20130315140312/http://clopfic.heroku.com/authors/678", "TwiliteSpunklez (Now goes by Pnoy)")</f>
        <v>TwiliteSpunklez (Now goes by Pnoy)</v>
      </c>
      <c r="J524" s="7" t="s">
        <v>39</v>
      </c>
      <c r="K524" s="7" t="s">
        <v>49</v>
      </c>
      <c r="L524" s="7" t="s">
        <v>62</v>
      </c>
      <c r="M524" s="7" t="s">
        <v>56</v>
      </c>
      <c r="N524" s="7" t="s">
        <v>47</v>
      </c>
      <c r="O524" s="7" t="s">
        <v>51</v>
      </c>
      <c r="P524" s="7" t="s">
        <v>64</v>
      </c>
      <c r="Q524" s="7" t="s">
        <v>65</v>
      </c>
      <c r="R524" s="7" t="s">
        <v>66</v>
      </c>
      <c r="S524" s="7" t="s">
        <v>68</v>
      </c>
      <c r="T524" s="7" t="s">
        <v>59</v>
      </c>
      <c r="U524" s="7" t="s">
        <v>60</v>
      </c>
      <c r="V524" s="7" t="s">
        <v>71</v>
      </c>
      <c r="W524" s="7" t="s">
        <v>69</v>
      </c>
      <c r="X524" s="7" t="s">
        <v>107</v>
      </c>
      <c r="Y524" s="7" t="s">
        <v>184</v>
      </c>
      <c r="Z524" s="7" t="s">
        <v>40</v>
      </c>
      <c r="AA524" s="7" t="s">
        <v>113</v>
      </c>
      <c r="AB524" s="7" t="s">
        <v>101</v>
      </c>
      <c r="AC524" s="7" t="s">
        <v>102</v>
      </c>
      <c r="AD524" s="7" t="s">
        <v>111</v>
      </c>
      <c r="AE524" s="7" t="s">
        <v>43</v>
      </c>
      <c r="AF524" s="7" t="s">
        <v>41</v>
      </c>
      <c r="AG524" s="9">
        <v>41003.0</v>
      </c>
      <c r="AH524" s="9">
        <v>41003.0</v>
      </c>
    </row>
    <row r="525">
      <c r="A525" s="6" t="str">
        <f>HYPERLINK("https://archive.ph/o/kCXAs/https://web-beta.archive.org/web/20130315140312/http://clopfic.heroku.com/fics/934", "Under The Stars")</f>
        <v>Under The Stars</v>
      </c>
      <c r="E525" s="7" t="s">
        <v>44</v>
      </c>
      <c r="H525" s="8" t="s">
        <v>574</v>
      </c>
      <c r="I525" s="6" t="str">
        <f t="shared" si="17"/>
        <v>TwiliteSpunklez (Now goes by Pnoy)</v>
      </c>
      <c r="J525" s="7" t="s">
        <v>39</v>
      </c>
      <c r="W525" s="7" t="s">
        <v>69</v>
      </c>
      <c r="AG525" s="9">
        <v>41003.0</v>
      </c>
      <c r="AH525" s="9">
        <v>41003.0</v>
      </c>
    </row>
    <row r="526">
      <c r="A526" s="6" t="str">
        <f>HYPERLINK("https://archive.ph/o/kCXAs/https://web-beta.archive.org/web/20130315140312/http://clopfic.heroku.com/fics/932", "Scootaloo's Scootabuse")</f>
        <v>Scootaloo's Scootabuse</v>
      </c>
      <c r="B526" s="7" t="s">
        <v>36</v>
      </c>
      <c r="F526" s="7" t="s">
        <v>52</v>
      </c>
      <c r="H526" s="8" t="s">
        <v>575</v>
      </c>
      <c r="I526" s="6" t="str">
        <f>HYPERLINK("https://archive.ph/o/kCXAs/https://web-beta.archive.org/web/20130315140312/http://clopfic.heroku.com/authors/187", "TheBrony")</f>
        <v>TheBrony</v>
      </c>
      <c r="S526" s="7" t="s">
        <v>68</v>
      </c>
      <c r="T526" s="7" t="s">
        <v>59</v>
      </c>
      <c r="U526" s="7" t="s">
        <v>60</v>
      </c>
      <c r="Z526" s="7" t="s">
        <v>40</v>
      </c>
      <c r="AF526" s="7" t="s">
        <v>41</v>
      </c>
      <c r="AG526" s="9">
        <v>41002.0</v>
      </c>
      <c r="AH526" s="9">
        <v>41002.0</v>
      </c>
    </row>
    <row r="527">
      <c r="A527" s="6" t="str">
        <f>HYPERLINK("https://archive.ph/o/kCXAs/https://web-beta.archive.org/web/20130315140312/http://clopfic.heroku.com/fics/914", "Rarity's Favorite Pony")</f>
        <v>Rarity's Favorite Pony</v>
      </c>
      <c r="E527" s="7" t="s">
        <v>44</v>
      </c>
      <c r="H527" s="8" t="s">
        <v>576</v>
      </c>
      <c r="I527" s="6" t="str">
        <f>HYPERLINK("https://archive.ph/o/kCXAs/https://web-beta.archive.org/web/20130315140312/http://clopfic.heroku.com/authors/670", "Jura~")</f>
        <v>Jura~</v>
      </c>
      <c r="N527" s="7" t="s">
        <v>47</v>
      </c>
      <c r="O527" s="7" t="s">
        <v>51</v>
      </c>
      <c r="AG527" s="9">
        <v>40998.0</v>
      </c>
      <c r="AH527" s="9">
        <v>41002.0</v>
      </c>
    </row>
    <row r="528">
      <c r="A528" s="6" t="str">
        <f>HYPERLINK("https://archive.ph/o/kCXAs/https://web-beta.archive.org/web/20130315140312/http://clopfic.heroku.com/fics/931", "Mark of chaos")</f>
        <v>Mark of chaos</v>
      </c>
      <c r="E528" s="7" t="s">
        <v>44</v>
      </c>
      <c r="H528" s="8" t="s">
        <v>577</v>
      </c>
      <c r="I528" s="6" t="str">
        <f>HYPERLINK("https://archive.ph/o/kCXAs/https://web-beta.archive.org/web/20130315140312/http://clopfic.heroku.com/authors/618", "badboylover24")</f>
        <v>badboylover24</v>
      </c>
      <c r="P528" s="7" t="s">
        <v>64</v>
      </c>
      <c r="AF528" s="7" t="s">
        <v>41</v>
      </c>
      <c r="AG528" s="9">
        <v>41001.0</v>
      </c>
      <c r="AH528" s="9">
        <v>41001.0</v>
      </c>
    </row>
    <row r="529">
      <c r="A529" s="6" t="str">
        <f>HYPERLINK("https://archive.ph/o/kCXAs/https://web-beta.archive.org/web/20130315140312/http://clopfic.heroku.com/fics/930", "Wonderbolt Training")</f>
        <v>Wonderbolt Training</v>
      </c>
      <c r="D529" s="7" t="s">
        <v>37</v>
      </c>
      <c r="E529" s="7" t="s">
        <v>44</v>
      </c>
      <c r="H529" s="8" t="s">
        <v>578</v>
      </c>
      <c r="I529" s="6" t="str">
        <f t="shared" ref="I529:I531" si="18">HYPERLINK("https://archive.ph/o/kCXAs/https://web-beta.archive.org/web/20130315140312/http://clopfic.heroku.com/authors/675", "darf")</f>
        <v>darf</v>
      </c>
      <c r="Z529" s="7" t="s">
        <v>40</v>
      </c>
      <c r="AE529" s="7" t="s">
        <v>43</v>
      </c>
      <c r="AG529" s="9">
        <v>41001.0</v>
      </c>
      <c r="AH529" s="9">
        <v>41001.0</v>
      </c>
    </row>
    <row r="530">
      <c r="A530" s="6" t="str">
        <f>HYPERLINK("https://archive.ph/o/kCXAs/https://web-beta.archive.org/web/20130315140312/http://clopfic.heroku.com/fics/929", "Nighttime Dom")</f>
        <v>Nighttime Dom</v>
      </c>
      <c r="B530" s="7" t="s">
        <v>36</v>
      </c>
      <c r="D530" s="7" t="s">
        <v>37</v>
      </c>
      <c r="E530" s="7" t="s">
        <v>44</v>
      </c>
      <c r="H530" s="8" t="s">
        <v>579</v>
      </c>
      <c r="I530" s="6" t="str">
        <f t="shared" si="18"/>
        <v>darf</v>
      </c>
      <c r="Q530" s="7" t="s">
        <v>65</v>
      </c>
      <c r="AG530" s="9">
        <v>41001.0</v>
      </c>
      <c r="AH530" s="9">
        <v>41001.0</v>
      </c>
    </row>
    <row r="531">
      <c r="A531" s="6" t="str">
        <f>HYPERLINK("https://archive.ph/o/kCXAs/https://web-beta.archive.org/web/20130315140312/http://clopfic.heroku.com/fics/928", "Luna's Tits")</f>
        <v>Luna's Tits</v>
      </c>
      <c r="C531" s="7" t="s">
        <v>54</v>
      </c>
      <c r="E531" s="7" t="s">
        <v>44</v>
      </c>
      <c r="H531" s="8" t="s">
        <v>580</v>
      </c>
      <c r="I531" s="6" t="str">
        <f t="shared" si="18"/>
        <v>darf</v>
      </c>
      <c r="Q531" s="7" t="s">
        <v>65</v>
      </c>
      <c r="AG531" s="9">
        <v>41001.0</v>
      </c>
      <c r="AH531" s="9">
        <v>41001.0</v>
      </c>
    </row>
    <row r="532">
      <c r="A532" s="6" t="str">
        <f>HYPERLINK("https://archive.ph/o/kCXAs/https://web-beta.archive.org/web/20130315140312/http://clopfic.heroku.com/fics/927", "Spike's posh bunny hunt")</f>
        <v>Spike's posh bunny hunt</v>
      </c>
      <c r="D532" s="7" t="s">
        <v>37</v>
      </c>
      <c r="F532" s="7" t="s">
        <v>52</v>
      </c>
      <c r="H532" s="8" t="s">
        <v>581</v>
      </c>
      <c r="I532" s="6" t="str">
        <f>HYPERLINK("https://archive.ph/o/kCXAs/https://web-beta.archive.org/web/20130315140312/http://clopfic.heroku.com/authors/674", "Xeon")</f>
        <v>Xeon</v>
      </c>
      <c r="J532" s="7" t="s">
        <v>39</v>
      </c>
      <c r="K532" s="7" t="s">
        <v>49</v>
      </c>
      <c r="L532" s="7" t="s">
        <v>62</v>
      </c>
      <c r="M532" s="7" t="s">
        <v>56</v>
      </c>
      <c r="N532" s="7" t="s">
        <v>47</v>
      </c>
      <c r="O532" s="7" t="s">
        <v>51</v>
      </c>
      <c r="R532" s="7" t="s">
        <v>66</v>
      </c>
      <c r="S532" s="7" t="s">
        <v>68</v>
      </c>
      <c r="Z532" s="7" t="s">
        <v>40</v>
      </c>
      <c r="AA532" s="7" t="s">
        <v>113</v>
      </c>
      <c r="AG532" s="9">
        <v>41001.0</v>
      </c>
      <c r="AH532" s="9">
        <v>41001.0</v>
      </c>
    </row>
    <row r="533">
      <c r="A533" s="6" t="str">
        <f>HYPERLINK("https://archive.ph/o/kCXAs/https://web-beta.archive.org/web/20130315140312/http://clopfic.heroku.com/fics/883", "The Magical Dildo of Liberation.")</f>
        <v>The Magical Dildo of Liberation.</v>
      </c>
      <c r="B533" s="7" t="s">
        <v>36</v>
      </c>
      <c r="D533" s="7" t="s">
        <v>37</v>
      </c>
      <c r="E533" s="7" t="s">
        <v>44</v>
      </c>
      <c r="H533" s="8" t="s">
        <v>582</v>
      </c>
      <c r="I533" s="6" t="str">
        <f>HYPERLINK("https://archive.ph/o/kCXAs/https://web-beta.archive.org/web/20130315140312/http://clopfic.heroku.com/authors/562", "WhatTheFap")</f>
        <v>WhatTheFap</v>
      </c>
      <c r="J533" s="7" t="s">
        <v>39</v>
      </c>
      <c r="K533" s="7" t="s">
        <v>49</v>
      </c>
      <c r="L533" s="7" t="s">
        <v>62</v>
      </c>
      <c r="M533" s="7" t="s">
        <v>56</v>
      </c>
      <c r="N533" s="7" t="s">
        <v>47</v>
      </c>
      <c r="O533" s="7" t="s">
        <v>51</v>
      </c>
      <c r="R533" s="7" t="s">
        <v>66</v>
      </c>
      <c r="AG533" s="9">
        <v>40983.0</v>
      </c>
      <c r="AH533" s="9">
        <v>41001.0</v>
      </c>
    </row>
    <row r="534">
      <c r="A534" s="6" t="str">
        <f>HYPERLINK("https://archive.ph/o/kCXAs/https://web-beta.archive.org/web/20130315140312/http://clopfic.heroku.com/fics/926", "The Colour of my World")</f>
        <v>The Colour of my World</v>
      </c>
      <c r="C534" s="7" t="s">
        <v>54</v>
      </c>
      <c r="E534" s="7" t="s">
        <v>44</v>
      </c>
      <c r="H534" s="8" t="s">
        <v>583</v>
      </c>
      <c r="I534" s="6" t="str">
        <f>HYPERLINK("https://archive.ph/o/kCXAs/https://web-beta.archive.org/web/20130315140312/http://clopfic.heroku.com/authors/673", "Ghost121")</f>
        <v>Ghost121</v>
      </c>
      <c r="J534" s="7" t="s">
        <v>39</v>
      </c>
      <c r="K534" s="7" t="s">
        <v>49</v>
      </c>
      <c r="M534" s="7" t="s">
        <v>56</v>
      </c>
      <c r="R534" s="7" t="s">
        <v>66</v>
      </c>
      <c r="Z534" s="7" t="s">
        <v>40</v>
      </c>
      <c r="AF534" s="7" t="s">
        <v>41</v>
      </c>
      <c r="AG534" s="9">
        <v>41001.0</v>
      </c>
      <c r="AH534" s="9">
        <v>41001.0</v>
      </c>
    </row>
    <row r="535">
      <c r="A535" s="6" t="str">
        <f>HYPERLINK("https://archive.ph/o/kCXAs/https://web-beta.archive.org/web/20130315140312/http://clopfic.heroku.com/fics/925", "Twixie")</f>
        <v>Twixie</v>
      </c>
      <c r="E535" s="7" t="s">
        <v>44</v>
      </c>
      <c r="H535" s="8" t="s">
        <v>584</v>
      </c>
      <c r="I535" s="6" t="str">
        <f>HYPERLINK("https://archive.ph/o/kCXAs/https://web-beta.archive.org/web/20130315140312/http://clopfic.heroku.com/authors/71", "StreakTheFox")</f>
        <v>StreakTheFox</v>
      </c>
      <c r="J535" s="7" t="s">
        <v>39</v>
      </c>
      <c r="W535" s="7" t="s">
        <v>69</v>
      </c>
      <c r="AG535" s="9">
        <v>41001.0</v>
      </c>
      <c r="AH535" s="9">
        <v>41001.0</v>
      </c>
    </row>
    <row r="536">
      <c r="A536" s="6" t="str">
        <f>HYPERLINK("https://archive.ph/o/kCXAs/https://web-beta.archive.org/web/20130315140312/http://clopfic.heroku.com/fics/924", "Sleeping Beauty")</f>
        <v>Sleeping Beauty</v>
      </c>
      <c r="G536" s="7" t="s">
        <v>75</v>
      </c>
      <c r="H536" s="8" t="s">
        <v>585</v>
      </c>
      <c r="I536" s="6" t="str">
        <f>HYPERLINK("https://archive.ph/o/kCXAs/https://web-beta.archive.org/web/20130315140312/http://clopfic.heroku.com/authors/672", "Plotface")</f>
        <v>Plotface</v>
      </c>
      <c r="Z536" s="7" t="s">
        <v>40</v>
      </c>
      <c r="AE536" s="7" t="s">
        <v>43</v>
      </c>
      <c r="AG536" s="9">
        <v>41000.0</v>
      </c>
      <c r="AH536" s="9">
        <v>41000.0</v>
      </c>
    </row>
    <row r="537">
      <c r="A537" s="6" t="str">
        <f>HYPERLINK("https://archive.ph/o/kCXAs/https://web-beta.archive.org/web/20130315140312/http://clopfic.heroku.com/fics/923", "Tales of the Beautiful and Sexy Ruse")</f>
        <v>Tales of the Beautiful and Sexy Ruse</v>
      </c>
      <c r="E537" s="7" t="s">
        <v>44</v>
      </c>
      <c r="H537" s="8" t="s">
        <v>571</v>
      </c>
      <c r="I537" s="6" t="str">
        <f>HYPERLINK("https://archive.ph/o/kCXAs/https://web-beta.archive.org/web/20130315140312/http://clopfic.heroku.com/authors/180", "Anonymous")</f>
        <v>Anonymous</v>
      </c>
      <c r="J537" s="7" t="s">
        <v>39</v>
      </c>
      <c r="W537" s="7" t="s">
        <v>69</v>
      </c>
      <c r="AG537" s="9">
        <v>41000.0</v>
      </c>
      <c r="AH537" s="9">
        <v>41000.0</v>
      </c>
    </row>
    <row r="538">
      <c r="A538" s="6" t="str">
        <f>HYPERLINK("https://archive.ph/o/kCXAs/https://web-beta.archive.org/web/20130315140312/http://clopfic.heroku.com/fics/922", "Fluttershy and the Bunny Buttplug")</f>
        <v>Fluttershy and the Bunny Buttplug</v>
      </c>
      <c r="B538" s="7" t="s">
        <v>36</v>
      </c>
      <c r="D538" s="7" t="s">
        <v>37</v>
      </c>
      <c r="H538" s="8" t="s">
        <v>586</v>
      </c>
      <c r="I538" s="6" t="str">
        <f>HYPERLINK("https://archive.ph/o/kCXAs/https://web-beta.archive.org/web/20130315140312/http://clopfic.heroku.com/authors/671", "TriforceOfDiarrhea")</f>
        <v>TriforceOfDiarrhea</v>
      </c>
      <c r="O538" s="7" t="s">
        <v>51</v>
      </c>
      <c r="Z538" s="7" t="s">
        <v>40</v>
      </c>
      <c r="AF538" s="7" t="s">
        <v>41</v>
      </c>
      <c r="AG538" s="9">
        <v>41000.0</v>
      </c>
      <c r="AH538" s="9">
        <v>41000.0</v>
      </c>
    </row>
    <row r="539">
      <c r="A539" s="6" t="str">
        <f>HYPERLINK("https://archive.ph/o/kCXAs/https://web-beta.archive.org/web/20130315140312/http://clopfic.heroku.com/fics/919", "A Fantasy Like No Other")</f>
        <v>A Fantasy Like No Other</v>
      </c>
      <c r="D539" s="7" t="s">
        <v>37</v>
      </c>
      <c r="E539" s="7" t="s">
        <v>44</v>
      </c>
      <c r="H539" s="8" t="s">
        <v>587</v>
      </c>
      <c r="I539" s="6" t="str">
        <f>HYPERLINK("https://archive.ph/o/kCXAs/https://web-beta.archive.org/web/20130315140312/http://clopfic.heroku.com/authors/562", "WhatTheFap")</f>
        <v>WhatTheFap</v>
      </c>
      <c r="Z539" s="7" t="s">
        <v>40</v>
      </c>
      <c r="AF539" s="7" t="s">
        <v>41</v>
      </c>
      <c r="AG539" s="9">
        <v>40999.0</v>
      </c>
      <c r="AH539" s="9">
        <v>40999.0</v>
      </c>
    </row>
    <row r="540">
      <c r="A540" s="6" t="str">
        <f>HYPERLINK("https://archive.ph/o/kCXAs/https://web-beta.archive.org/web/20130315140312/http://clopfic.heroku.com/fics/918", "Moon Stripes")</f>
        <v>Moon Stripes</v>
      </c>
      <c r="E540" s="7" t="s">
        <v>44</v>
      </c>
      <c r="H540" s="8" t="s">
        <v>588</v>
      </c>
      <c r="I540" s="6" t="str">
        <f>HYPERLINK("https://archive.ph/o/kCXAs/https://web-beta.archive.org/web/20130315140312/http://clopfic.heroku.com/authors/667", "PianoPony1")</f>
        <v>PianoPony1</v>
      </c>
      <c r="AD540" s="7" t="s">
        <v>111</v>
      </c>
      <c r="AF540" s="7" t="s">
        <v>41</v>
      </c>
      <c r="AG540" s="9">
        <v>40999.0</v>
      </c>
      <c r="AH540" s="9">
        <v>40999.0</v>
      </c>
    </row>
    <row r="541">
      <c r="A541" s="6" t="str">
        <f>HYPERLINK("https://archive.ph/o/kCXAs/https://web-beta.archive.org/web/20130315140312/http://clopfic.heroku.com/fics/917", "Scratched / Better Living Through Chemistry")</f>
        <v>Scratched / Better Living Through Chemistry</v>
      </c>
      <c r="H541" s="8" t="s">
        <v>589</v>
      </c>
      <c r="I541" s="6" t="str">
        <f>HYPERLINK("https://archive.ph/o/kCXAs/https://web-beta.archive.org/web/20130315140312/http://clopfic.heroku.com/authors/608", "SwiperTheFox")</f>
        <v>SwiperTheFox</v>
      </c>
      <c r="Z541" s="7" t="s">
        <v>40</v>
      </c>
      <c r="AE541" s="7" t="s">
        <v>43</v>
      </c>
      <c r="AG541" s="9">
        <v>40998.0</v>
      </c>
      <c r="AH541" s="9">
        <v>40998.0</v>
      </c>
    </row>
    <row r="542">
      <c r="A542" s="6" t="str">
        <f>HYPERLINK("https://archive.ph/o/kCXAs/https://web-beta.archive.org/web/20130315140312/http://clopfic.heroku.com/fics/916", "Fluffy")</f>
        <v>Fluffy</v>
      </c>
      <c r="B542" s="7" t="s">
        <v>36</v>
      </c>
      <c r="H542" s="8" t="s">
        <v>590</v>
      </c>
      <c r="I542" s="6" t="str">
        <f>HYPERLINK("https://archive.ph/o/kCXAs/https://web-beta.archive.org/web/20130315140312/http://clopfic.heroku.com/authors/676", "Andysonic1")</f>
        <v>Andysonic1</v>
      </c>
      <c r="J542" s="7" t="s">
        <v>39</v>
      </c>
      <c r="Z542" s="7" t="s">
        <v>40</v>
      </c>
      <c r="AF542" s="7" t="s">
        <v>41</v>
      </c>
      <c r="AG542" s="9">
        <v>40998.0</v>
      </c>
      <c r="AH542" s="9">
        <v>40998.0</v>
      </c>
    </row>
    <row r="543">
      <c r="A543" s="6" t="str">
        <f>HYPERLINK("https://archive.ph/o/kCXAs/https://web-beta.archive.org/web/20130315140312/http://clopfic.heroku.com/fics/913", "A little bit of chaos")</f>
        <v>A little bit of chaos</v>
      </c>
      <c r="C543" s="7" t="s">
        <v>54</v>
      </c>
      <c r="D543" s="7" t="s">
        <v>37</v>
      </c>
      <c r="H543" s="8" t="s">
        <v>591</v>
      </c>
      <c r="I543" s="6" t="str">
        <f>HYPERLINK("https://archive.ph/o/kCXAs/https://web-beta.archive.org/web/20130315140312/http://clopfic.heroku.com/authors/253", "TAW")</f>
        <v>TAW</v>
      </c>
      <c r="Z543" s="7" t="s">
        <v>40</v>
      </c>
      <c r="AF543" s="7" t="s">
        <v>41</v>
      </c>
      <c r="AG543" s="9">
        <v>40997.0</v>
      </c>
      <c r="AH543" s="9">
        <v>40998.0</v>
      </c>
    </row>
    <row r="544">
      <c r="A544" s="6" t="str">
        <f>HYPERLINK("https://archive.ph/o/kCXAs/https://web-beta.archive.org/web/20130315140312/http://clopfic.heroku.com/fics/912", "Beach heat")</f>
        <v>Beach heat</v>
      </c>
      <c r="C544" s="7" t="s">
        <v>54</v>
      </c>
      <c r="E544" s="7" t="s">
        <v>44</v>
      </c>
      <c r="H544" s="8" t="s">
        <v>592</v>
      </c>
      <c r="I544" s="6" t="str">
        <f>HYPERLINK("https://archive.ph/o/kCXAs/https://web-beta.archive.org/web/20130315140312/http://clopfic.heroku.com/authors/198", "Theorangefox")</f>
        <v>Theorangefox</v>
      </c>
      <c r="M544" s="7" t="s">
        <v>56</v>
      </c>
      <c r="Z544" s="7" t="s">
        <v>40</v>
      </c>
      <c r="AE544" s="7" t="s">
        <v>43</v>
      </c>
      <c r="AG544" s="9">
        <v>40996.0</v>
      </c>
      <c r="AH544" s="9">
        <v>40996.0</v>
      </c>
    </row>
    <row r="545">
      <c r="A545" s="6" t="str">
        <f>HYPERLINK("https://archive.ph/o/kCXAs/https://web-beta.archive.org/web/20130315140312/http://clopfic.heroku.com/fics/762", "The Trials and Tribulations of Tolliker")</f>
        <v>The Trials and Tribulations of Tolliker</v>
      </c>
      <c r="E545" s="7" t="s">
        <v>44</v>
      </c>
      <c r="F545" s="7" t="s">
        <v>52</v>
      </c>
      <c r="G545" s="7" t="s">
        <v>75</v>
      </c>
      <c r="H545" s="8" t="s">
        <v>593</v>
      </c>
      <c r="I545" s="6" t="str">
        <f>HYPERLINK("https://archive.ph/o/kCXAs/https://web-beta.archive.org/web/20130315140312/http://clopfic.heroku.com/authors/549", "Tolliker")</f>
        <v>Tolliker</v>
      </c>
      <c r="J545" s="7" t="s">
        <v>39</v>
      </c>
      <c r="L545" s="7" t="s">
        <v>62</v>
      </c>
      <c r="M545" s="7" t="s">
        <v>56</v>
      </c>
      <c r="N545" s="7" t="s">
        <v>47</v>
      </c>
      <c r="O545" s="7" t="s">
        <v>51</v>
      </c>
      <c r="V545" s="7" t="s">
        <v>71</v>
      </c>
      <c r="Z545" s="7" t="s">
        <v>40</v>
      </c>
      <c r="AE545" s="7" t="s">
        <v>43</v>
      </c>
      <c r="AF545" s="7" t="s">
        <v>41</v>
      </c>
      <c r="AG545" s="9">
        <v>40937.0</v>
      </c>
      <c r="AH545" s="9">
        <v>40996.0</v>
      </c>
    </row>
    <row r="546">
      <c r="A546" s="6" t="str">
        <f>HYPERLINK("https://archive.ph/o/kCXAs/https://web-beta.archive.org/web/20130315140312/http://clopfic.heroku.com/fics/826", "Her Majesty's Official Sperm Donors ")</f>
        <v>Her Majesty's Official Sperm Donors </v>
      </c>
      <c r="C546" s="7" t="s">
        <v>54</v>
      </c>
      <c r="D546" s="7" t="s">
        <v>37</v>
      </c>
      <c r="H546" s="8" t="s">
        <v>594</v>
      </c>
      <c r="I546" s="6" t="str">
        <f>HYPERLINK("https://archive.ph/o/kCXAs/https://web-beta.archive.org/web/20130315140312/http://clopfic.heroku.com/authors/608", "SwiperTheFox")</f>
        <v>SwiperTheFox</v>
      </c>
      <c r="P546" s="7" t="s">
        <v>64</v>
      </c>
      <c r="Q546" s="7" t="s">
        <v>65</v>
      </c>
      <c r="Z546" s="7" t="s">
        <v>40</v>
      </c>
      <c r="AF546" s="7" t="s">
        <v>41</v>
      </c>
      <c r="AG546" s="9">
        <v>40964.0</v>
      </c>
      <c r="AH546" s="9">
        <v>40996.0</v>
      </c>
    </row>
    <row r="547">
      <c r="A547" s="6" t="str">
        <f>HYPERLINK("https://archive.ph/o/kCXAs/https://web-beta.archive.org/web/20130315140312/http://clopfic.heroku.com/fics/910", "Electrotica")</f>
        <v>Electrotica</v>
      </c>
      <c r="D547" s="7" t="s">
        <v>37</v>
      </c>
      <c r="H547" s="8" t="s">
        <v>595</v>
      </c>
      <c r="I547" s="6" t="str">
        <f>HYPERLINK("https://archive.ph/o/kCXAs/https://web-beta.archive.org/web/20130315140312/http://clopfic.heroku.com/authors/659", "Jot Jiggety Jog")</f>
        <v>Jot Jiggety Jog</v>
      </c>
      <c r="AE547" s="7" t="s">
        <v>43</v>
      </c>
      <c r="AG547" s="9">
        <v>40996.0</v>
      </c>
      <c r="AH547" s="9">
        <v>40996.0</v>
      </c>
    </row>
    <row r="548">
      <c r="A548" s="6" t="str">
        <f>HYPERLINK("https://archive.ph/o/kCXAs/https://web-beta.archive.org/web/20130315140312/http://clopfic.heroku.com/fics/901", "Getting Braeburned")</f>
        <v>Getting Braeburned</v>
      </c>
      <c r="C548" s="7" t="s">
        <v>54</v>
      </c>
      <c r="E548" s="7" t="s">
        <v>44</v>
      </c>
      <c r="H548" s="8" t="s">
        <v>596</v>
      </c>
      <c r="I548" s="6" t="str">
        <f>HYPERLINK("https://archive.ph/o/kCXAs/https://web-beta.archive.org/web/20130315140312/http://clopfic.heroku.com/authors/608", "SwiperTheFox")</f>
        <v>SwiperTheFox</v>
      </c>
      <c r="Z548" s="7" t="s">
        <v>40</v>
      </c>
      <c r="AE548" s="7" t="s">
        <v>43</v>
      </c>
      <c r="AF548" s="7" t="s">
        <v>41</v>
      </c>
      <c r="AG548" s="9">
        <v>40991.0</v>
      </c>
      <c r="AH548" s="9">
        <v>40995.0</v>
      </c>
    </row>
    <row r="549">
      <c r="A549" s="6" t="str">
        <f>HYPERLINK("https://archive.ph/o/kCXAs/https://web-beta.archive.org/web/20130315140312/http://clopfic.heroku.com/fics/909", "A Little Leftover Chaos Never Hurt Anybody ")</f>
        <v>A Little Leftover Chaos Never Hurt Anybody </v>
      </c>
      <c r="C549" s="7" t="s">
        <v>54</v>
      </c>
      <c r="E549" s="7" t="s">
        <v>44</v>
      </c>
      <c r="H549" s="8" t="s">
        <v>597</v>
      </c>
      <c r="I549" s="6" t="str">
        <f>HYPERLINK("https://archive.ph/o/kCXAs/https://web-beta.archive.org/web/20130315140312/http://clopfic.heroku.com/authors/658", "Path Pony")</f>
        <v>Path Pony</v>
      </c>
      <c r="J549" s="7" t="s">
        <v>39</v>
      </c>
      <c r="AF549" s="7" t="s">
        <v>41</v>
      </c>
      <c r="AG549" s="9">
        <v>40995.0</v>
      </c>
      <c r="AH549" s="9">
        <v>40995.0</v>
      </c>
    </row>
    <row r="550">
      <c r="A550" s="6" t="str">
        <f>HYPERLINK("https://archive.ph/o/kCXAs/https://web-beta.archive.org/web/20130315140312/http://clopfic.heroku.com/fics/908", "A drop of fuel for a Nightmare")</f>
        <v>A drop of fuel for a Nightmare</v>
      </c>
      <c r="C550" s="7" t="s">
        <v>54</v>
      </c>
      <c r="E550" s="7" t="s">
        <v>44</v>
      </c>
      <c r="H550" s="8" t="s">
        <v>598</v>
      </c>
      <c r="I550" s="6" t="str">
        <f>HYPERLINK("https://archive.ph/o/kCXAs/https://web-beta.archive.org/web/20130315140312/http://clopfic.heroku.com/authors/253", "TAW")</f>
        <v>TAW</v>
      </c>
      <c r="Q550" s="7" t="s">
        <v>65</v>
      </c>
      <c r="Z550" s="7" t="s">
        <v>40</v>
      </c>
      <c r="AF550" s="7" t="s">
        <v>41</v>
      </c>
      <c r="AG550" s="9">
        <v>40994.0</v>
      </c>
      <c r="AH550" s="9">
        <v>40994.0</v>
      </c>
    </row>
    <row r="551">
      <c r="A551" s="6" t="str">
        <f>HYPERLINK("https://archive.ph/o/kCXAs/https://web-beta.archive.org/web/20130315140312/http://clopfic.heroku.com/fics/907", "Fluttershy Finds Love")</f>
        <v>Fluttershy Finds Love</v>
      </c>
      <c r="E551" s="7" t="s">
        <v>44</v>
      </c>
      <c r="G551" s="7" t="s">
        <v>75</v>
      </c>
      <c r="H551" s="8" t="s">
        <v>599</v>
      </c>
      <c r="I551" s="6" t="str">
        <f>HYPERLINK("https://archive.ph/o/kCXAs/https://web-beta.archive.org/web/20130315140312/http://clopfic.heroku.com/authors/657", "ANONYMOUS")</f>
        <v>ANONYMOUS</v>
      </c>
      <c r="M551" s="7" t="s">
        <v>56</v>
      </c>
      <c r="O551" s="7" t="s">
        <v>51</v>
      </c>
      <c r="AG551" s="9">
        <v>40994.0</v>
      </c>
      <c r="AH551" s="9">
        <v>40994.0</v>
      </c>
    </row>
    <row r="552">
      <c r="A552" s="6" t="str">
        <f>HYPERLINK("https://archive.ph/o/kCXAs/https://web-beta.archive.org/web/20130315140312/http://clopfic.heroku.com/fics/906", "Awakened rudely")</f>
        <v>Awakened rudely</v>
      </c>
      <c r="C552" s="7" t="s">
        <v>54</v>
      </c>
      <c r="F552" s="7" t="s">
        <v>52</v>
      </c>
      <c r="H552" s="8" t="s">
        <v>600</v>
      </c>
      <c r="I552" s="6" t="str">
        <f>HYPERLINK("https://archive.ph/o/kCXAs/https://web-beta.archive.org/web/20130315140312/http://clopfic.heroku.com/authors/656", "ponyaddict")</f>
        <v>ponyaddict</v>
      </c>
      <c r="J552" s="7" t="s">
        <v>39</v>
      </c>
      <c r="N552" s="7" t="s">
        <v>47</v>
      </c>
      <c r="Z552" s="7" t="s">
        <v>40</v>
      </c>
      <c r="AF552" s="7" t="s">
        <v>41</v>
      </c>
      <c r="AG552" s="9">
        <v>40993.0</v>
      </c>
      <c r="AH552" s="9">
        <v>40993.0</v>
      </c>
    </row>
    <row r="553">
      <c r="A553" s="6" t="str">
        <f>HYPERLINK("https://archive.ph/o/kCXAs/https://web-beta.archive.org/web/20130315140312/http://clopfic.heroku.com/fics/905", "The Sinners and the Saints")</f>
        <v>The Sinners and the Saints</v>
      </c>
      <c r="E553" s="7" t="s">
        <v>44</v>
      </c>
      <c r="H553" s="8" t="s">
        <v>601</v>
      </c>
      <c r="I553" s="6" t="str">
        <f>HYPERLINK("https://archive.ph/o/kCXAs/https://web-beta.archive.org/web/20130315140312/http://clopfic.heroku.com/authors/571", "Holla Jolla")</f>
        <v>Holla Jolla</v>
      </c>
      <c r="J553" s="7" t="s">
        <v>39</v>
      </c>
      <c r="N553" s="7" t="s">
        <v>47</v>
      </c>
      <c r="AG553" s="9">
        <v>40993.0</v>
      </c>
      <c r="AH553" s="9">
        <v>40993.0</v>
      </c>
    </row>
    <row r="554">
      <c r="A554" s="6" t="str">
        <f>HYPERLINK("https://archive.ph/o/kCXAs/https://web-beta.archive.org/web/20130315140312/http://clopfic.heroku.com/fics/904", "Fetish time with Twilight")</f>
        <v>Fetish time with Twilight</v>
      </c>
      <c r="B554" s="7" t="s">
        <v>36</v>
      </c>
      <c r="C554" s="7" t="s">
        <v>54</v>
      </c>
      <c r="D554" s="7" t="s">
        <v>37</v>
      </c>
      <c r="E554" s="7" t="s">
        <v>44</v>
      </c>
      <c r="H554" s="8" t="s">
        <v>602</v>
      </c>
      <c r="I554" s="6" t="str">
        <f>HYPERLINK("https://archive.ph/o/kCXAs/https://web-beta.archive.org/web/20130315140312/http://clopfic.heroku.com/authors/280", "BDNFatlus")</f>
        <v>BDNFatlus</v>
      </c>
      <c r="J554" s="7" t="s">
        <v>39</v>
      </c>
      <c r="Z554" s="7" t="s">
        <v>40</v>
      </c>
      <c r="AF554" s="7" t="s">
        <v>41</v>
      </c>
      <c r="AG554" s="9">
        <v>40992.0</v>
      </c>
      <c r="AH554" s="9">
        <v>40992.0</v>
      </c>
    </row>
    <row r="555">
      <c r="A555" s="6" t="str">
        <f>HYPERLINK("https://archive.ph/o/kCXAs/https://web-beta.archive.org/web/20130315140312/http://clopfic.heroku.com/fics/903", "Repopulation")</f>
        <v>Repopulation</v>
      </c>
      <c r="B555" s="7" t="s">
        <v>36</v>
      </c>
      <c r="C555" s="7" t="s">
        <v>54</v>
      </c>
      <c r="F555" s="7" t="s">
        <v>52</v>
      </c>
      <c r="H555" s="8" t="s">
        <v>603</v>
      </c>
      <c r="I555" s="6" t="str">
        <f>HYPERLINK("https://archive.ph/o/kCXAs/https://web-beta.archive.org/web/20130315140312/http://clopfic.heroku.com/authors/655", "Hollow Tone")</f>
        <v>Hollow Tone</v>
      </c>
      <c r="J555" s="7" t="s">
        <v>39</v>
      </c>
      <c r="Z555" s="7" t="s">
        <v>40</v>
      </c>
      <c r="AF555" s="7" t="s">
        <v>41</v>
      </c>
      <c r="AG555" s="9">
        <v>40992.0</v>
      </c>
      <c r="AH555" s="9">
        <v>40992.0</v>
      </c>
    </row>
    <row r="556">
      <c r="A556" s="6" t="str">
        <f>HYPERLINK("https://archive.ph/o/kCXAs/https://web-beta.archive.org/web/20130315140312/http://clopfic.heroku.com/fics/902", "Only If for a Night")</f>
        <v>Only If for a Night</v>
      </c>
      <c r="E556" s="7" t="s">
        <v>44</v>
      </c>
      <c r="H556" s="8" t="s">
        <v>604</v>
      </c>
      <c r="I556" s="6" t="str">
        <f>HYPERLINK("https://archive.ph/o/kCXAs/https://web-beta.archive.org/web/20130315140312/http://clopfic.heroku.com/authors/651", "Harp's'ong")</f>
        <v>Harp's'ong</v>
      </c>
      <c r="AF556" s="7" t="s">
        <v>41</v>
      </c>
      <c r="AG556" s="9">
        <v>40992.0</v>
      </c>
      <c r="AH556" s="9">
        <v>40992.0</v>
      </c>
    </row>
    <row r="557">
      <c r="A557" s="6" t="str">
        <f>HYPERLINK("https://archive.ph/o/kCXAs/https://web-beta.archive.org/web/20130315140312/http://clopfic.heroku.com/fics/900", "Alicorn-sized Bed")</f>
        <v>Alicorn-sized Bed</v>
      </c>
      <c r="E557" s="7" t="s">
        <v>44</v>
      </c>
      <c r="H557" s="8" t="s">
        <v>605</v>
      </c>
      <c r="I557" s="6" t="str">
        <f>HYPERLINK("https://archive.ph/o/kCXAs/https://web-beta.archive.org/web/20130315140312/http://clopfic.heroku.com/authors/650", "quillsaga")</f>
        <v>quillsaga</v>
      </c>
      <c r="J557" s="7" t="s">
        <v>39</v>
      </c>
      <c r="P557" s="7" t="s">
        <v>64</v>
      </c>
      <c r="Q557" s="7" t="s">
        <v>65</v>
      </c>
      <c r="AG557" s="9">
        <v>40991.0</v>
      </c>
      <c r="AH557" s="9">
        <v>40991.0</v>
      </c>
    </row>
    <row r="558">
      <c r="A558" s="6" t="str">
        <f>HYPERLINK("https://archive.ph/o/kCXAs/https://web-beta.archive.org/web/20130315140312/http://clopfic.heroku.com/fics/542", "Warming Up")</f>
        <v>Warming Up</v>
      </c>
      <c r="B558" s="7" t="s">
        <v>36</v>
      </c>
      <c r="E558" s="7" t="s">
        <v>44</v>
      </c>
      <c r="H558" s="8" t="s">
        <v>606</v>
      </c>
      <c r="I558" s="6" t="str">
        <f>HYPERLINK("https://archive.ph/o/kCXAs/https://web-beta.archive.org/web/20130315140312/http://clopfic.heroku.com/authors/205", "Proteus-92")</f>
        <v>Proteus-92</v>
      </c>
      <c r="J558" s="7" t="s">
        <v>39</v>
      </c>
      <c r="K558" s="7" t="s">
        <v>49</v>
      </c>
      <c r="L558" s="7" t="s">
        <v>62</v>
      </c>
      <c r="M558" s="7" t="s">
        <v>56</v>
      </c>
      <c r="N558" s="7" t="s">
        <v>47</v>
      </c>
      <c r="O558" s="7" t="s">
        <v>51</v>
      </c>
      <c r="P558" s="7" t="s">
        <v>64</v>
      </c>
      <c r="R558" s="7" t="s">
        <v>66</v>
      </c>
      <c r="AG558" s="9">
        <v>40843.0</v>
      </c>
      <c r="AH558" s="9">
        <v>40990.0</v>
      </c>
    </row>
    <row r="559">
      <c r="A559" s="6" t="str">
        <f>HYPERLINK("https://archive.ph/o/kCXAs/https://web-beta.archive.org/web/20130315140312/http://clopfic.heroku.com/fics/898", "Anti-Climax")</f>
        <v>Anti-Climax</v>
      </c>
      <c r="H559" s="8" t="s">
        <v>607</v>
      </c>
      <c r="I559" s="6" t="str">
        <f>HYPERLINK("https://archive.ph/o/kCXAs/https://web-beta.archive.org/web/20130315140312/http://clopfic.heroku.com/authors/648", "The Young and Free Dragon")</f>
        <v>The Young and Free Dragon</v>
      </c>
      <c r="J559" s="7" t="s">
        <v>39</v>
      </c>
      <c r="M559" s="7" t="s">
        <v>56</v>
      </c>
      <c r="R559" s="7" t="s">
        <v>66</v>
      </c>
      <c r="AG559" s="9">
        <v>40989.0</v>
      </c>
      <c r="AH559" s="9">
        <v>40989.0</v>
      </c>
    </row>
    <row r="560">
      <c r="A560" s="6" t="str">
        <f>HYPERLINK("https://archive.ph/o/kCXAs/https://web-beta.archive.org/web/20130315140312/http://clopfic.heroku.com/fics/897", "Humans And Heartstrings")</f>
        <v>Humans And Heartstrings</v>
      </c>
      <c r="C560" s="7" t="s">
        <v>54</v>
      </c>
      <c r="H560" s="8" t="s">
        <v>608</v>
      </c>
      <c r="I560" s="6" t="str">
        <f>HYPERLINK("https://archive.ph/o/kCXAs/https://web-beta.archive.org/web/20130315140312/http://clopfic.heroku.com/authors/647", "BroadwayFlush")</f>
        <v>BroadwayFlush</v>
      </c>
      <c r="Z560" s="7" t="s">
        <v>40</v>
      </c>
      <c r="AB560" s="7" t="s">
        <v>101</v>
      </c>
      <c r="AC560" s="7" t="s">
        <v>102</v>
      </c>
      <c r="AF560" s="7" t="s">
        <v>41</v>
      </c>
      <c r="AG560" s="9">
        <v>40989.0</v>
      </c>
      <c r="AH560" s="9">
        <v>40989.0</v>
      </c>
    </row>
    <row r="561">
      <c r="A561" s="6" t="str">
        <f>HYPERLINK("https://archive.ph/o/kCXAs/https://web-beta.archive.org/web/20130315140312/http://clopfic.heroku.com/fics/896", "Poetic Justice")</f>
        <v>Poetic Justice</v>
      </c>
      <c r="C561" s="7" t="s">
        <v>54</v>
      </c>
      <c r="D561" s="7" t="s">
        <v>37</v>
      </c>
      <c r="E561" s="7" t="s">
        <v>44</v>
      </c>
      <c r="H561" s="8" t="s">
        <v>609</v>
      </c>
      <c r="I561" s="6" t="str">
        <f>HYPERLINK("https://archive.ph/o/kCXAs/https://web-beta.archive.org/web/20130315140312/http://clopfic.heroku.com/authors/253", "TAW")</f>
        <v>TAW</v>
      </c>
      <c r="J561" s="7" t="s">
        <v>39</v>
      </c>
      <c r="Z561" s="7" t="s">
        <v>40</v>
      </c>
      <c r="AF561" s="7" t="s">
        <v>41</v>
      </c>
      <c r="AG561" s="9">
        <v>40988.0</v>
      </c>
      <c r="AH561" s="9">
        <v>40988.0</v>
      </c>
    </row>
    <row r="562">
      <c r="A562" s="6" t="str">
        <f>HYPERLINK("https://archive.ph/o/kCXAs/https://web-beta.archive.org/web/20130315140312/http://clopfic.heroku.com/fics/476", "Summer Flight Camp")</f>
        <v>Summer Flight Camp</v>
      </c>
      <c r="B562" s="7" t="s">
        <v>36</v>
      </c>
      <c r="E562" s="7" t="s">
        <v>44</v>
      </c>
      <c r="H562" s="8" t="s">
        <v>610</v>
      </c>
      <c r="I562" s="6" t="str">
        <f>HYPERLINK("https://archive.ph/o/kCXAs/https://web-beta.archive.org/web/20130315140312/http://clopfic.heroku.com/authors/746", "Flutterwhy4")</f>
        <v>Flutterwhy4</v>
      </c>
      <c r="M562" s="7" t="s">
        <v>56</v>
      </c>
      <c r="O562" s="7" t="s">
        <v>51</v>
      </c>
      <c r="Z562" s="7" t="s">
        <v>40</v>
      </c>
      <c r="AE562" s="7" t="s">
        <v>43</v>
      </c>
      <c r="AG562" s="9">
        <v>40800.0</v>
      </c>
      <c r="AH562" s="9">
        <v>40987.0</v>
      </c>
    </row>
    <row r="563">
      <c r="A563" s="6" t="str">
        <f>HYPERLINK("https://archive.ph/o/kCXAs/https://web-beta.archive.org/web/20130315140312/http://clopfic.heroku.com/fics/895", "I Wish I Might")</f>
        <v>I Wish I Might</v>
      </c>
      <c r="C563" s="7" t="s">
        <v>54</v>
      </c>
      <c r="E563" s="7" t="s">
        <v>44</v>
      </c>
      <c r="H563" s="8" t="s">
        <v>611</v>
      </c>
      <c r="I563" s="6" t="str">
        <f>HYPERLINK("https://archive.ph/o/kCXAs/https://web-beta.archive.org/web/20130315140312/http://clopfic.heroku.com/authors/1", "RagingSemi")</f>
        <v>RagingSemi</v>
      </c>
      <c r="J563" s="7" t="s">
        <v>39</v>
      </c>
      <c r="Z563" s="7" t="s">
        <v>40</v>
      </c>
      <c r="AF563" s="7" t="s">
        <v>41</v>
      </c>
      <c r="AG563" s="9">
        <v>40987.0</v>
      </c>
      <c r="AH563" s="9">
        <v>40987.0</v>
      </c>
    </row>
    <row r="564">
      <c r="A564" s="6" t="str">
        <f>HYPERLINK("https://archive.ph/o/kCXAs/https://web-beta.archive.org/web/20130315140312/http://clopfic.heroku.com/fics/893", "Crackle's Perfect Partner")</f>
        <v>Crackle's Perfect Partner</v>
      </c>
      <c r="B564" s="7" t="s">
        <v>36</v>
      </c>
      <c r="H564" s="8" t="s">
        <v>612</v>
      </c>
      <c r="I564" s="6" t="str">
        <f>HYPERLINK("https://archive.ph/o/kCXAs/https://web-beta.archive.org/web/20130315140312/http://clopfic.heroku.com/authors/350", "NoPony YouKnow")</f>
        <v>NoPony YouKnow</v>
      </c>
      <c r="J564" s="7" t="s">
        <v>39</v>
      </c>
      <c r="M564" s="7" t="s">
        <v>56</v>
      </c>
      <c r="N564" s="7" t="s">
        <v>47</v>
      </c>
      <c r="Z564" s="7" t="s">
        <v>40</v>
      </c>
      <c r="AE564" s="7" t="s">
        <v>43</v>
      </c>
      <c r="AG564" s="9">
        <v>40986.0</v>
      </c>
      <c r="AH564" s="9">
        <v>40986.0</v>
      </c>
    </row>
    <row r="565">
      <c r="A565" s="6" t="str">
        <f>HYPERLINK("https://archive.ph/o/kCXAs/https://web-beta.archive.org/web/20130315140312/http://clopfic.heroku.com/fics/892", "How I Met Your Lover")</f>
        <v>How I Met Your Lover</v>
      </c>
      <c r="E565" s="7" t="s">
        <v>44</v>
      </c>
      <c r="H565" s="8" t="s">
        <v>613</v>
      </c>
      <c r="I565" s="6" t="str">
        <f>HYPERLINK("https://archive.ph/o/kCXAs/https://web-beta.archive.org/web/20130315140312/http://clopfic.heroku.com/authors/553", "ImJustAnotherBrony")</f>
        <v>ImJustAnotherBrony</v>
      </c>
      <c r="Z565" s="7" t="s">
        <v>40</v>
      </c>
      <c r="AB565" s="7" t="s">
        <v>101</v>
      </c>
      <c r="AC565" s="7" t="s">
        <v>102</v>
      </c>
      <c r="AE565" s="7" t="s">
        <v>43</v>
      </c>
      <c r="AG565" s="9">
        <v>40985.0</v>
      </c>
      <c r="AH565" s="9">
        <v>40985.0</v>
      </c>
    </row>
    <row r="566">
      <c r="A566" s="6" t="str">
        <f>HYPERLINK("https://archive.ph/o/kCXAs/https://web-beta.archive.org/web/20130315140312/http://clopfic.heroku.com/fics/891", "Flying High, Getting Hard")</f>
        <v>Flying High, Getting Hard</v>
      </c>
      <c r="C566" s="7" t="s">
        <v>54</v>
      </c>
      <c r="H566" s="8" t="s">
        <v>614</v>
      </c>
      <c r="I566" s="6" t="str">
        <f>HYPERLINK("https://archive.ph/o/kCXAs/https://web-beta.archive.org/web/20130315140312/http://clopfic.heroku.com/authors/253", "TAW")</f>
        <v>TAW</v>
      </c>
      <c r="M566" s="7" t="s">
        <v>56</v>
      </c>
      <c r="Z566" s="7" t="s">
        <v>40</v>
      </c>
      <c r="AE566" s="7" t="s">
        <v>43</v>
      </c>
      <c r="AF566" s="7" t="s">
        <v>41</v>
      </c>
      <c r="AG566" s="9">
        <v>40985.0</v>
      </c>
      <c r="AH566" s="9">
        <v>40985.0</v>
      </c>
    </row>
    <row r="567">
      <c r="A567" s="6" t="str">
        <f>HYPERLINK("https://archive.ph/o/kCXAs/https://web-beta.archive.org/web/20130315140312/http://clopfic.heroku.com/fics/889", "Birds and Bees")</f>
        <v>Birds and Bees</v>
      </c>
      <c r="D567" s="7" t="s">
        <v>37</v>
      </c>
      <c r="E567" s="7" t="s">
        <v>44</v>
      </c>
      <c r="H567" s="8" t="s">
        <v>615</v>
      </c>
      <c r="I567" s="6" t="str">
        <f>HYPERLINK("https://archive.ph/o/kCXAs/https://web-beta.archive.org/web/20130315140312/http://clopfic.heroku.com/authors/746", "Flutterwhy4")</f>
        <v>Flutterwhy4</v>
      </c>
      <c r="S567" s="7" t="s">
        <v>68</v>
      </c>
      <c r="T567" s="7" t="s">
        <v>59</v>
      </c>
      <c r="U567" s="7" t="s">
        <v>60</v>
      </c>
      <c r="V567" s="7" t="s">
        <v>71</v>
      </c>
      <c r="Z567" s="7" t="s">
        <v>40</v>
      </c>
      <c r="AD567" s="7" t="s">
        <v>111</v>
      </c>
      <c r="AE567" s="7" t="s">
        <v>43</v>
      </c>
      <c r="AG567" s="9">
        <v>40985.0</v>
      </c>
      <c r="AH567" s="9">
        <v>40985.0</v>
      </c>
    </row>
    <row r="568">
      <c r="A568" s="6" t="str">
        <f>HYPERLINK("https://archive.ph/o/kCXAs/https://web-beta.archive.org/web/20130315140312/http://clopfic.heroku.com/fics/568", "Spikes Sexual Misadventures")</f>
        <v>Spikes Sexual Misadventures</v>
      </c>
      <c r="D568" s="7" t="s">
        <v>37</v>
      </c>
      <c r="E568" s="7" t="s">
        <v>44</v>
      </c>
      <c r="F568" s="7" t="s">
        <v>52</v>
      </c>
      <c r="H568" s="8" t="s">
        <v>616</v>
      </c>
      <c r="I568" s="6" t="str">
        <f>HYPERLINK("https://archive.ph/o/kCXAs/https://web-beta.archive.org/web/20130315140312/http://clopfic.heroku.com/authors/563", "TwilightPsycho")</f>
        <v>TwilightPsycho</v>
      </c>
      <c r="J568" s="7" t="s">
        <v>39</v>
      </c>
      <c r="K568" s="7" t="s">
        <v>49</v>
      </c>
      <c r="L568" s="7" t="s">
        <v>62</v>
      </c>
      <c r="M568" s="7" t="s">
        <v>56</v>
      </c>
      <c r="N568" s="7" t="s">
        <v>47</v>
      </c>
      <c r="O568" s="7" t="s">
        <v>51</v>
      </c>
      <c r="Q568" s="7" t="s">
        <v>65</v>
      </c>
      <c r="R568" s="7" t="s">
        <v>66</v>
      </c>
      <c r="V568" s="7" t="s">
        <v>71</v>
      </c>
      <c r="Z568" s="7" t="s">
        <v>40</v>
      </c>
      <c r="AE568" s="7" t="s">
        <v>43</v>
      </c>
      <c r="AG568" s="9">
        <v>40865.0</v>
      </c>
      <c r="AH568" s="9">
        <v>40983.0</v>
      </c>
    </row>
    <row r="569">
      <c r="A569" s="6" t="str">
        <f>HYPERLINK("https://archive.ph/o/kCXAs/https://web-beta.archive.org/web/20130315140312/http://clopfic.heroku.com/fics/885", "Nights Like This")</f>
        <v>Nights Like This</v>
      </c>
      <c r="E569" s="7" t="s">
        <v>44</v>
      </c>
      <c r="H569" s="8" t="s">
        <v>617</v>
      </c>
      <c r="I569" s="6" t="str">
        <f>HYPERLINK("https://archive.ph/o/kCXAs/https://web-beta.archive.org/web/20130315140312/http://clopfic.heroku.com/authors/643", "SanityLost")</f>
        <v>SanityLost</v>
      </c>
      <c r="K569" s="7" t="s">
        <v>49</v>
      </c>
      <c r="M569" s="7" t="s">
        <v>56</v>
      </c>
      <c r="AG569" s="9">
        <v>40983.0</v>
      </c>
      <c r="AH569" s="9">
        <v>40983.0</v>
      </c>
    </row>
    <row r="570">
      <c r="A570" s="6" t="str">
        <f>HYPERLINK("https://archive.ph/o/kCXAs/https://web-beta.archive.org/web/20130315140312/http://clopfic.heroku.com/fics/884", "Screaming Twilight Sparkle")</f>
        <v>Screaming Twilight Sparkle</v>
      </c>
      <c r="D570" s="7" t="s">
        <v>37</v>
      </c>
      <c r="E570" s="7" t="s">
        <v>44</v>
      </c>
      <c r="H570" s="8" t="s">
        <v>618</v>
      </c>
      <c r="I570" s="6" t="str">
        <f>HYPERLINK("https://archive.ph/o/kCXAs/https://web-beta.archive.org/web/20130315140312/http://clopfic.heroku.com/authors/642", "Come Hither")</f>
        <v>Come Hither</v>
      </c>
      <c r="J570" s="7" t="s">
        <v>39</v>
      </c>
      <c r="M570" s="7" t="s">
        <v>56</v>
      </c>
      <c r="AG570" s="9">
        <v>40983.0</v>
      </c>
      <c r="AH570" s="9">
        <v>40983.0</v>
      </c>
    </row>
    <row r="571">
      <c r="A571" s="6" t="str">
        <f>HYPERLINK("https://archive.ph/o/kCXAs/https://web-beta.archive.org/web/20130315140312/http://clopfic.heroku.com/fics/882", "Two Ponies, a Dragon, and a Full Bladder")</f>
        <v>Two Ponies, a Dragon, and a Full Bladder</v>
      </c>
      <c r="D571" s="7" t="s">
        <v>37</v>
      </c>
      <c r="H571" s="8" t="s">
        <v>619</v>
      </c>
      <c r="I571" s="6" t="str">
        <f>HYPERLINK("https://archive.ph/o/kCXAs/https://web-beta.archive.org/web/20130315140312/http://clopfic.heroku.com/authors/237", "HighLevelTeen")</f>
        <v>HighLevelTeen</v>
      </c>
      <c r="J571" s="7" t="s">
        <v>39</v>
      </c>
      <c r="K571" s="7" t="s">
        <v>49</v>
      </c>
      <c r="R571" s="7" t="s">
        <v>66</v>
      </c>
      <c r="AG571" s="9">
        <v>40982.0</v>
      </c>
      <c r="AH571" s="9">
        <v>40982.0</v>
      </c>
    </row>
    <row r="572">
      <c r="A572" s="6" t="str">
        <f>HYPERLINK("https://archive.ph/o/kCXAs/https://web-beta.archive.org/web/20130315140312/http://clopfic.heroku.com/fics/880", "chain princess")</f>
        <v>chain princess</v>
      </c>
      <c r="B572" s="7" t="s">
        <v>36</v>
      </c>
      <c r="C572" s="7" t="s">
        <v>54</v>
      </c>
      <c r="D572" s="7" t="s">
        <v>37</v>
      </c>
      <c r="E572" s="7" t="s">
        <v>44</v>
      </c>
      <c r="F572" s="7" t="s">
        <v>52</v>
      </c>
      <c r="H572" s="8" t="s">
        <v>620</v>
      </c>
      <c r="I572" s="6" t="str">
        <f>HYPERLINK("https://archive.ph/o/kCXAs/https://web-beta.archive.org/web/20130315140312/http://clopfic.heroku.com/authors/641", "starsong")</f>
        <v>starsong</v>
      </c>
      <c r="Z572" s="7" t="s">
        <v>40</v>
      </c>
      <c r="AF572" s="7" t="s">
        <v>41</v>
      </c>
      <c r="AG572" s="9">
        <v>40982.0</v>
      </c>
      <c r="AH572" s="9">
        <v>40982.0</v>
      </c>
    </row>
    <row r="573">
      <c r="A573" s="6" t="str">
        <f>HYPERLINK("https://archive.ph/o/kCXAs/https://web-beta.archive.org/web/20130315140312/http://clopfic.heroku.com/fics/879", "A Rare Situation")</f>
        <v>A Rare Situation</v>
      </c>
      <c r="E573" s="7" t="s">
        <v>44</v>
      </c>
      <c r="H573" s="8" t="s">
        <v>621</v>
      </c>
      <c r="I573" s="6" t="str">
        <f>HYPERLINK("https://archive.ph/o/kCXAs/https://web-beta.archive.org/web/20130315140312/http://clopfic.heroku.com/authors/640", "DJ P!NK-3 aka NightmareSnake")</f>
        <v>DJ P!NK-3 aka NightmareSnake</v>
      </c>
      <c r="N573" s="7" t="s">
        <v>47</v>
      </c>
      <c r="V573" s="7" t="s">
        <v>71</v>
      </c>
      <c r="AG573" s="9">
        <v>40982.0</v>
      </c>
      <c r="AH573" s="9">
        <v>40982.0</v>
      </c>
    </row>
    <row r="574">
      <c r="A574" s="6" t="str">
        <f>HYPERLINK("https://archive.ph/o/kCXAs/https://web-beta.archive.org/web/20130315140312/http://clopfic.heroku.com/fics/878", "A Great and Painful Lesson")</f>
        <v>A Great and Painful Lesson</v>
      </c>
      <c r="B574" s="7" t="s">
        <v>36</v>
      </c>
      <c r="D574" s="7" t="s">
        <v>37</v>
      </c>
      <c r="H574" s="8" t="s">
        <v>622</v>
      </c>
      <c r="I574" s="6" t="str">
        <f>HYPERLINK("https://archive.ph/o/kCXAs/https://web-beta.archive.org/web/20130315140312/http://clopfic.heroku.com/fics", "/fics")</f>
        <v>/fics</v>
      </c>
      <c r="J574" s="7" t="s">
        <v>39</v>
      </c>
      <c r="M574" s="7" t="s">
        <v>56</v>
      </c>
      <c r="W574" s="7" t="s">
        <v>69</v>
      </c>
      <c r="AG574" s="9">
        <v>40981.0</v>
      </c>
      <c r="AH574" s="9">
        <v>40981.0</v>
      </c>
    </row>
    <row r="575">
      <c r="A575" s="6" t="str">
        <f>HYPERLINK("https://archive.ph/o/kCXAs/https://web-beta.archive.org/web/20130315140312/http://clopfic.heroku.com/fics/877", "Unforgivable")</f>
        <v>Unforgivable</v>
      </c>
      <c r="B575" s="7" t="s">
        <v>36</v>
      </c>
      <c r="H575" s="8" t="s">
        <v>623</v>
      </c>
      <c r="I575" s="6" t="str">
        <f>HYPERLINK("https://archive.ph/o/kCXAs/https://web-beta.archive.org/web/20130315140312/http://clopfic.heroku.com/authors/638", "SymphonyOfTheFree")</f>
        <v>SymphonyOfTheFree</v>
      </c>
      <c r="J575" s="7" t="s">
        <v>39</v>
      </c>
      <c r="Z575" s="7" t="s">
        <v>40</v>
      </c>
      <c r="AF575" s="7" t="s">
        <v>41</v>
      </c>
      <c r="AG575" s="9">
        <v>40981.0</v>
      </c>
      <c r="AH575" s="9">
        <v>40981.0</v>
      </c>
    </row>
    <row r="576">
      <c r="A576" s="6" t="str">
        <f>HYPERLINK("https://archive.ph/o/kCXAs/https://web-beta.archive.org/web/20130315140312/http://clopfic.heroku.com/fics/876", "Pinkie Pie x Big Mac &amp; Braeburn")</f>
        <v>Pinkie Pie x Big Mac &amp; Braeburn</v>
      </c>
      <c r="H576" s="8" t="s">
        <v>624</v>
      </c>
      <c r="I576" s="6" t="str">
        <f>HYPERLINK("https://archive.ph/o/kCXAs/https://web-beta.archive.org/web/20130315140312/http://clopfic.heroku.com/authors/637", "Mahogany")</f>
        <v>Mahogany</v>
      </c>
      <c r="K576" s="7" t="s">
        <v>49</v>
      </c>
      <c r="V576" s="7" t="s">
        <v>71</v>
      </c>
      <c r="Z576" s="7" t="s">
        <v>40</v>
      </c>
      <c r="AE576" s="7" t="s">
        <v>43</v>
      </c>
      <c r="AG576" s="9">
        <v>40981.0</v>
      </c>
      <c r="AH576" s="9">
        <v>40981.0</v>
      </c>
    </row>
    <row r="577">
      <c r="A577" s="6" t="str">
        <f>HYPERLINK("https://archive.ph/o/kCXAs/https://web-beta.archive.org/web/20130315140312/http://clopfic.heroku.com/fics/864", "Animal Husbandry")</f>
        <v>Animal Husbandry</v>
      </c>
      <c r="C577" s="7" t="s">
        <v>54</v>
      </c>
      <c r="D577" s="7" t="s">
        <v>37</v>
      </c>
      <c r="E577" s="7" t="s">
        <v>44</v>
      </c>
      <c r="H577" s="8" t="s">
        <v>625</v>
      </c>
      <c r="I577" s="6" t="str">
        <f>HYPERLINK("https://archive.ph/o/kCXAs/https://web-beta.archive.org/web/20130315140312/http://clopfic.heroku.com/authors/626", "Standard Namespace")</f>
        <v>Standard Namespace</v>
      </c>
      <c r="J577" s="7" t="s">
        <v>39</v>
      </c>
      <c r="AG577" s="9">
        <v>40977.0</v>
      </c>
      <c r="AH577" s="9">
        <v>40980.0</v>
      </c>
    </row>
    <row r="578">
      <c r="A578" s="6" t="str">
        <f>HYPERLINK("https://archive.ph/o/kCXAs/https://web-beta.archive.org/web/20130315140312/http://clopfic.heroku.com/fics/875", "Cherry Trees")</f>
        <v>Cherry Trees</v>
      </c>
      <c r="E578" s="7" t="s">
        <v>44</v>
      </c>
      <c r="H578" s="8" t="s">
        <v>626</v>
      </c>
      <c r="I578" s="6" t="str">
        <f>HYPERLINK("https://archive.ph/o/kCXAs/https://web-beta.archive.org/web/20130315140312/http://clopfic.heroku.com/authors/70", "SleeplessBrony")</f>
        <v>SleeplessBrony</v>
      </c>
      <c r="L578" s="7" t="s">
        <v>62</v>
      </c>
      <c r="Z578" s="7" t="s">
        <v>40</v>
      </c>
      <c r="AE578" s="7" t="s">
        <v>43</v>
      </c>
      <c r="AG578" s="9">
        <v>40980.0</v>
      </c>
      <c r="AH578" s="9">
        <v>40980.0</v>
      </c>
    </row>
    <row r="579">
      <c r="A579" s="6" t="str">
        <f>HYPERLINK("https://archive.ph/o/kCXAs/https://web-beta.archive.org/web/20130315140312/http://clopfic.heroku.com/fics/873", "Lyra At FleshieCon")</f>
        <v>Lyra At FleshieCon</v>
      </c>
      <c r="B579" s="7" t="s">
        <v>36</v>
      </c>
      <c r="H579" s="8" t="s">
        <v>627</v>
      </c>
      <c r="I579" s="6" t="str">
        <f>HYPERLINK("https://archive.ph/o/kCXAs/https://web-beta.archive.org/web/20130315140312/http://clopfic.heroku.com/authors/180", "Anonymous")</f>
        <v>Anonymous</v>
      </c>
      <c r="Z579" s="7" t="s">
        <v>40</v>
      </c>
      <c r="AB579" s="7" t="s">
        <v>101</v>
      </c>
      <c r="AG579" s="9">
        <v>40980.0</v>
      </c>
      <c r="AH579" s="9">
        <v>40980.0</v>
      </c>
    </row>
    <row r="580">
      <c r="A580" s="6" t="str">
        <f>HYPERLINK("https://archive.ph/o/kCXAs/https://web-beta.archive.org/web/20130315140312/http://clopfic.heroku.com/fics/872", "Objective Analysis")</f>
        <v>Objective Analysis</v>
      </c>
      <c r="D580" s="7" t="s">
        <v>37</v>
      </c>
      <c r="E580" s="7" t="s">
        <v>44</v>
      </c>
      <c r="F580" s="7" t="s">
        <v>52</v>
      </c>
      <c r="H580" s="8" t="s">
        <v>628</v>
      </c>
      <c r="I580" s="6" t="str">
        <f>HYPERLINK("https://archive.ph/o/kCXAs/https://web-beta.archive.org/web/20130315140312/http://clopfic.heroku.com/authors/631", "ScyStorm")</f>
        <v>ScyStorm</v>
      </c>
      <c r="J580" s="7" t="s">
        <v>39</v>
      </c>
      <c r="M580" s="7" t="s">
        <v>56</v>
      </c>
      <c r="AG580" s="9">
        <v>40980.0</v>
      </c>
      <c r="AH580" s="9">
        <v>40980.0</v>
      </c>
    </row>
    <row r="581">
      <c r="A581" s="6" t="str">
        <f>HYPERLINK("https://archive.ph/o/kCXAs/https://web-beta.archive.org/web/20130315140312/http://clopfic.heroku.com/fics/870", "An Ocean of Colors")</f>
        <v>An Ocean of Colors</v>
      </c>
      <c r="E581" s="7" t="s">
        <v>44</v>
      </c>
      <c r="H581" s="8" t="s">
        <v>629</v>
      </c>
      <c r="I581" s="6" t="str">
        <f t="shared" ref="I581:I582" si="19">HYPERLINK("https://archive.ph/o/kCXAs/https://web-beta.archive.org/web/20130315140312/http://clopfic.heroku.com/authors/355", "Liquid Rainbows")</f>
        <v>Liquid Rainbows</v>
      </c>
      <c r="Z581" s="7" t="s">
        <v>40</v>
      </c>
      <c r="AF581" s="7" t="s">
        <v>41</v>
      </c>
      <c r="AG581" s="9">
        <v>40980.0</v>
      </c>
      <c r="AH581" s="9">
        <v>40980.0</v>
      </c>
    </row>
    <row r="582">
      <c r="A582" s="6" t="str">
        <f>HYPERLINK("https://archive.ph/o/kCXAs/https://web-beta.archive.org/web/20130315140312/http://clopfic.heroku.com/fics/868", "The Show Goes On")</f>
        <v>The Show Goes On</v>
      </c>
      <c r="E582" s="7" t="s">
        <v>44</v>
      </c>
      <c r="H582" s="8" t="s">
        <v>630</v>
      </c>
      <c r="I582" s="6" t="str">
        <f t="shared" si="19"/>
        <v>Liquid Rainbows</v>
      </c>
      <c r="AE582" s="7" t="s">
        <v>43</v>
      </c>
      <c r="AF582" s="7" t="s">
        <v>41</v>
      </c>
      <c r="AG582" s="9">
        <v>40979.0</v>
      </c>
      <c r="AH582" s="9">
        <v>40979.0</v>
      </c>
    </row>
    <row r="583">
      <c r="A583" s="6" t="str">
        <f>HYPERLINK("https://archive.ph/o/kCXAs/https://web-beta.archive.org/web/20130315140312/http://clopfic.heroku.com/fics/867", "Apple Surprise")</f>
        <v>Apple Surprise</v>
      </c>
      <c r="B583" s="7" t="s">
        <v>36</v>
      </c>
      <c r="F583" s="7" t="s">
        <v>52</v>
      </c>
      <c r="H583" s="8" t="s">
        <v>376</v>
      </c>
      <c r="I583" s="6" t="str">
        <f>HYPERLINK("https://archive.ph/o/kCXAs/https://web-beta.archive.org/web/20130315140312/http://clopfic.heroku.com/authors/71", "StreakTheFox")</f>
        <v>StreakTheFox</v>
      </c>
      <c r="L583" s="7" t="s">
        <v>62</v>
      </c>
      <c r="R583" s="7" t="s">
        <v>66</v>
      </c>
      <c r="S583" s="7" t="s">
        <v>68</v>
      </c>
      <c r="AG583" s="9">
        <v>40979.0</v>
      </c>
      <c r="AH583" s="9">
        <v>40979.0</v>
      </c>
    </row>
    <row r="584">
      <c r="A584" s="6" t="str">
        <f>HYPERLINK("https://archive.ph/o/kCXAs/https://web-beta.archive.org/web/20130315140312/http://clopfic.heroku.com/fics/838", "Pairings")</f>
        <v>Pairings</v>
      </c>
      <c r="D584" s="7" t="s">
        <v>37</v>
      </c>
      <c r="F584" s="7" t="s">
        <v>52</v>
      </c>
      <c r="H584" s="8" t="s">
        <v>631</v>
      </c>
      <c r="I584" s="6" t="str">
        <f>HYPERLINK("https://archive.ph/o/kCXAs/https://web-beta.archive.org/web/20130315140312/http://clopfic.heroku.com/authors/620", "Desolated Brony")</f>
        <v>Desolated Brony</v>
      </c>
      <c r="K584" s="7" t="s">
        <v>49</v>
      </c>
      <c r="L584" s="7" t="s">
        <v>62</v>
      </c>
      <c r="M584" s="7" t="s">
        <v>56</v>
      </c>
      <c r="N584" s="7" t="s">
        <v>47</v>
      </c>
      <c r="O584" s="7" t="s">
        <v>51</v>
      </c>
      <c r="P584" s="7" t="s">
        <v>64</v>
      </c>
      <c r="Q584" s="7" t="s">
        <v>65</v>
      </c>
      <c r="R584" s="7" t="s">
        <v>66</v>
      </c>
      <c r="S584" s="7" t="s">
        <v>68</v>
      </c>
      <c r="V584" s="7" t="s">
        <v>71</v>
      </c>
      <c r="Z584" s="7" t="s">
        <v>40</v>
      </c>
      <c r="AD584" s="7" t="s">
        <v>111</v>
      </c>
      <c r="AE584" s="7" t="s">
        <v>43</v>
      </c>
      <c r="AG584" s="9">
        <v>40967.0</v>
      </c>
      <c r="AH584" s="9">
        <v>40978.0</v>
      </c>
    </row>
    <row r="585">
      <c r="A585" s="6" t="str">
        <f>HYPERLINK("https://archive.ph/o/kCXAs/https://web-beta.archive.org/web/20130315140312/http://clopfic.heroku.com/fics/866", "Daring doo and the mysterious goo")</f>
        <v>Daring doo and the mysterious goo</v>
      </c>
      <c r="D585" s="7" t="s">
        <v>37</v>
      </c>
      <c r="H585" s="8" t="s">
        <v>632</v>
      </c>
      <c r="I585" s="6" t="str">
        <f>HYPERLINK("https://archive.ph/o/kCXAs/https://web-beta.archive.org/web/20130315140312/http://clopfic.heroku.com/authors/198", "Theorangefox")</f>
        <v>Theorangefox</v>
      </c>
      <c r="Z585" s="7" t="s">
        <v>40</v>
      </c>
      <c r="AE585" s="7" t="s">
        <v>43</v>
      </c>
      <c r="AG585" s="9">
        <v>40978.0</v>
      </c>
      <c r="AH585" s="9">
        <v>40978.0</v>
      </c>
    </row>
    <row r="586">
      <c r="A586" s="6" t="str">
        <f>HYPERLINK("https://archive.ph/o/kCXAs/https://web-beta.archive.org/web/20130315140312/http://clopfic.heroku.com/fics/865", "Don't call me Sugarcube!")</f>
        <v>Don't call me Sugarcube!</v>
      </c>
      <c r="E586" s="7" t="s">
        <v>44</v>
      </c>
      <c r="H586" s="8" t="s">
        <v>633</v>
      </c>
      <c r="I586" s="6" t="str">
        <f>HYPERLINK("https://archive.ph/o/kCXAs/https://web-beta.archive.org/web/20130315140312/http://clopfic.heroku.com/authors/253", "TAW")</f>
        <v>TAW</v>
      </c>
      <c r="L586" s="7" t="s">
        <v>62</v>
      </c>
      <c r="N586" s="7" t="s">
        <v>47</v>
      </c>
      <c r="AG586" s="9">
        <v>40978.0</v>
      </c>
      <c r="AH586" s="9">
        <v>40978.0</v>
      </c>
    </row>
    <row r="587">
      <c r="A587" s="6" t="str">
        <f>HYPERLINK("https://archive.ph/o/kCXAs/https://web-beta.archive.org/web/20130315140312/http://clopfic.heroku.com/fics/863", "My Brother's Keeper")</f>
        <v>My Brother's Keeper</v>
      </c>
      <c r="D587" s="7" t="s">
        <v>37</v>
      </c>
      <c r="E587" s="7" t="s">
        <v>44</v>
      </c>
      <c r="G587" s="7" t="s">
        <v>75</v>
      </c>
      <c r="H587" s="8" t="s">
        <v>634</v>
      </c>
      <c r="I587" s="6" t="str">
        <f>HYPERLINK("https://archive.ph/o/kCXAs/https://web-beta.archive.org/web/20130315140312/http://clopfic.heroku.com/authors/247", "One Terrible Writer")</f>
        <v>One Terrible Writer</v>
      </c>
      <c r="J587" s="7" t="s">
        <v>39</v>
      </c>
      <c r="L587" s="7" t="s">
        <v>62</v>
      </c>
      <c r="S587" s="7" t="s">
        <v>68</v>
      </c>
      <c r="Y587" s="7" t="s">
        <v>184</v>
      </c>
      <c r="Z587" s="7" t="s">
        <v>40</v>
      </c>
      <c r="AB587" s="7" t="s">
        <v>101</v>
      </c>
      <c r="AD587" s="7" t="s">
        <v>111</v>
      </c>
      <c r="AG587" s="9">
        <v>40977.0</v>
      </c>
      <c r="AH587" s="9">
        <v>40977.0</v>
      </c>
    </row>
    <row r="588">
      <c r="A588" s="6" t="str">
        <f>HYPERLINK("https://archive.ph/o/kCXAs/https://web-beta.archive.org/web/20130315140312/http://clopfic.heroku.com/fics/862", "The Five Twilights")</f>
        <v>The Five Twilights</v>
      </c>
      <c r="D588" s="7" t="s">
        <v>37</v>
      </c>
      <c r="H588" s="8" t="s">
        <v>635</v>
      </c>
      <c r="I588" s="6" t="str">
        <f>HYPERLINK("https://archive.ph/o/kCXAs/https://web-beta.archive.org/web/20130315140312/http://clopfic.heroku.com/authors/253", "TAW")</f>
        <v>TAW</v>
      </c>
      <c r="J588" s="7" t="s">
        <v>39</v>
      </c>
      <c r="AG588" s="9">
        <v>40976.0</v>
      </c>
      <c r="AH588" s="9">
        <v>40976.0</v>
      </c>
    </row>
    <row r="589">
      <c r="A589" s="6" t="str">
        <f>HYPERLINK("https://archive.ph/o/kCXAs/https://web-beta.archive.org/web/20130315140312/http://clopfic.heroku.com/fics/860", "Who Rules?")</f>
        <v>Who Rules?</v>
      </c>
      <c r="D589" s="7" t="s">
        <v>37</v>
      </c>
      <c r="H589" s="8" t="s">
        <v>636</v>
      </c>
      <c r="I589" s="6" t="str">
        <f>HYPERLINK("https://archive.ph/o/kCXAs/https://web-beta.archive.org/web/20130315140312/http://clopfic.heroku.com/authors/634", "Nom deCheval")</f>
        <v>Nom deCheval</v>
      </c>
      <c r="P589" s="7" t="s">
        <v>64</v>
      </c>
      <c r="Q589" s="7" t="s">
        <v>65</v>
      </c>
      <c r="AG589" s="9">
        <v>40975.0</v>
      </c>
      <c r="AH589" s="9">
        <v>40975.0</v>
      </c>
    </row>
    <row r="590">
      <c r="A590" s="6" t="str">
        <f>HYPERLINK("https://archive.ph/o/kCXAs/https://web-beta.archive.org/web/20130315140312/http://clopfic.heroku.com/fics/859", "Big Mac to Little Missy")</f>
        <v>Big Mac to Little Missy</v>
      </c>
      <c r="D590" s="7" t="s">
        <v>37</v>
      </c>
      <c r="G590" s="7" t="s">
        <v>75</v>
      </c>
      <c r="H590" s="8" t="s">
        <v>637</v>
      </c>
      <c r="I590" s="6" t="str">
        <f>HYPERLINK("https://archive.ph/o/kCXAs/https://web-beta.archive.org/web/20130315140312/http://clopfic.heroku.com/authors/633", "Mysti-Inferno")</f>
        <v>Mysti-Inferno</v>
      </c>
      <c r="S590" s="7" t="s">
        <v>68</v>
      </c>
      <c r="T590" s="7" t="s">
        <v>59</v>
      </c>
      <c r="U590" s="7" t="s">
        <v>60</v>
      </c>
      <c r="V590" s="7" t="s">
        <v>71</v>
      </c>
      <c r="AG590" s="9">
        <v>40975.0</v>
      </c>
      <c r="AH590" s="9">
        <v>40975.0</v>
      </c>
    </row>
    <row r="591">
      <c r="A591" s="6" t="str">
        <f>HYPERLINK("https://archive.ph/o/kCXAs/https://web-beta.archive.org/web/20130315140312/http://clopfic.heroku.com/fics/858", "You Will Never Share an Intimate Moment with Derpy")</f>
        <v>You Will Never Share an Intimate Moment with Derpy</v>
      </c>
      <c r="C591" s="7" t="s">
        <v>54</v>
      </c>
      <c r="D591" s="7" t="s">
        <v>37</v>
      </c>
      <c r="E591" s="7" t="s">
        <v>44</v>
      </c>
      <c r="H591" s="8" t="s">
        <v>638</v>
      </c>
      <c r="I591" s="6" t="str">
        <f>HYPERLINK("https://archive.ph/o/kCXAs/https://web-beta.archive.org/web/20130315140312/http://clopfic.heroku.com/authors/584", "Cloperella")</f>
        <v>Cloperella</v>
      </c>
      <c r="J591" s="7" t="s">
        <v>39</v>
      </c>
      <c r="Z591" s="7" t="s">
        <v>40</v>
      </c>
      <c r="AA591" s="7" t="s">
        <v>113</v>
      </c>
      <c r="AG591" s="9">
        <v>40975.0</v>
      </c>
      <c r="AH591" s="9">
        <v>40975.0</v>
      </c>
    </row>
    <row r="592">
      <c r="A592" s="6" t="str">
        <f>HYPERLINK("https://archive.ph/o/kCXAs/https://web-beta.archive.org/web/20130315140312/http://clopfic.heroku.com/fics/857", "Sisters")</f>
        <v>Sisters</v>
      </c>
      <c r="H592" s="8" t="s">
        <v>639</v>
      </c>
      <c r="I592" s="6" t="str">
        <f>HYPERLINK("https://archive.ph/o/kCXAs/https://web-beta.archive.org/web/20130315140312/http://clopfic.heroku.com/authors/593", "bassofthe")</f>
        <v>bassofthe</v>
      </c>
      <c r="P592" s="7" t="s">
        <v>64</v>
      </c>
      <c r="Q592" s="7" t="s">
        <v>65</v>
      </c>
      <c r="AG592" s="9">
        <v>40974.0</v>
      </c>
      <c r="AH592" s="9">
        <v>40974.0</v>
      </c>
    </row>
    <row r="593">
      <c r="A593" s="6" t="str">
        <f>HYPERLINK("https://archive.ph/o/kCXAs/https://web-beta.archive.org/web/20130315140312/http://clopfic.heroku.com/fics/856", "The Princesses midnight treat ")</f>
        <v>The Princesses midnight treat </v>
      </c>
      <c r="C593" s="7" t="s">
        <v>54</v>
      </c>
      <c r="H593" s="8" t="s">
        <v>640</v>
      </c>
      <c r="I593" s="6" t="str">
        <f>HYPERLINK("https://archive.ph/o/kCXAs/https://web-beta.archive.org/web/20130315140312/http://clopfic.heroku.com/authors/577", "craigerzF")</f>
        <v>craigerzF</v>
      </c>
      <c r="P593" s="7" t="s">
        <v>64</v>
      </c>
      <c r="Q593" s="7" t="s">
        <v>65</v>
      </c>
      <c r="Z593" s="7" t="s">
        <v>40</v>
      </c>
      <c r="AF593" s="7" t="s">
        <v>41</v>
      </c>
      <c r="AG593" s="9">
        <v>40974.0</v>
      </c>
      <c r="AH593" s="9">
        <v>40974.0</v>
      </c>
    </row>
    <row r="594">
      <c r="A594" s="6" t="str">
        <f>HYPERLINK("https://archive.ph/o/kCXAs/https://web-beta.archive.org/web/20130315140312/http://clopfic.heroku.com/fics/855", "MLP: Friendship is Benefits")</f>
        <v>MLP: Friendship is Benefits</v>
      </c>
      <c r="E594" s="7" t="s">
        <v>44</v>
      </c>
      <c r="H594" s="8" t="s">
        <v>641</v>
      </c>
      <c r="I594" s="6" t="str">
        <f>HYPERLINK("https://archive.ph/o/kCXAs/https://web-beta.archive.org/web/20130315140312/http://clopfic.heroku.com/authors/631", "ScyStorm")</f>
        <v>ScyStorm</v>
      </c>
      <c r="J594" s="7" t="s">
        <v>39</v>
      </c>
      <c r="M594" s="7" t="s">
        <v>56</v>
      </c>
      <c r="AG594" s="9">
        <v>40974.0</v>
      </c>
      <c r="AH594" s="9">
        <v>40974.0</v>
      </c>
    </row>
    <row r="595">
      <c r="A595" s="6" t="str">
        <f>HYPERLINK("https://archive.ph/o/kCXAs/https://web-beta.archive.org/web/20130315140312/http://clopfic.heroku.com/fics/852", "The amazing adventures of sluttiest horse")</f>
        <v>The amazing adventures of sluttiest horse</v>
      </c>
      <c r="D595" s="7" t="s">
        <v>37</v>
      </c>
      <c r="H595" s="8" t="s">
        <v>642</v>
      </c>
      <c r="I595" s="6" t="str">
        <f>HYPERLINK("https://archive.ph/o/kCXAs/https://web-beta.archive.org/web/20130315140312/http://clopfic.heroku.com/authors/253", "TAW")</f>
        <v>TAW</v>
      </c>
      <c r="Z595" s="7" t="s">
        <v>40</v>
      </c>
      <c r="AF595" s="7" t="s">
        <v>41</v>
      </c>
      <c r="AG595" s="9">
        <v>40973.0</v>
      </c>
      <c r="AH595" s="9">
        <v>40973.0</v>
      </c>
    </row>
    <row r="596">
      <c r="A596" s="6" t="str">
        <f>HYPERLINK("https://archive.ph/o/kCXAs/https://web-beta.archive.org/web/20130315140312/http://clopfic.heroku.com/fics/850", "Guilty pleasure")</f>
        <v>Guilty pleasure</v>
      </c>
      <c r="E596" s="7" t="s">
        <v>44</v>
      </c>
      <c r="H596" s="8" t="s">
        <v>643</v>
      </c>
      <c r="I596" s="6" t="str">
        <f>HYPERLINK("https://archive.ph/o/kCXAs/https://web-beta.archive.org/web/20130315140312/http://clopfic.heroku.com/authors/198", "Theorangefox")</f>
        <v>Theorangefox</v>
      </c>
      <c r="O596" s="7" t="s">
        <v>51</v>
      </c>
      <c r="Z596" s="7" t="s">
        <v>40</v>
      </c>
      <c r="AF596" s="7" t="s">
        <v>41</v>
      </c>
      <c r="AG596" s="9">
        <v>40971.0</v>
      </c>
      <c r="AH596" s="9">
        <v>40971.0</v>
      </c>
    </row>
    <row r="597">
      <c r="A597" s="6" t="str">
        <f>HYPERLINK("https://archive.ph/o/kCXAs/https://web-beta.archive.org/web/20130315140312/http://clopfic.heroku.com/fics/849", "Sports Equistrated: Wet Mane Edition")</f>
        <v>Sports Equistrated: Wet Mane Edition</v>
      </c>
      <c r="E597" s="7" t="s">
        <v>44</v>
      </c>
      <c r="H597" s="8" t="s">
        <v>644</v>
      </c>
      <c r="I597" s="6" t="str">
        <f>HYPERLINK("https://archive.ph/o/kCXAs/https://web-beta.archive.org/web/20130315140312/http://clopfic.heroku.com/authors/571", "Holla Jolla")</f>
        <v>Holla Jolla</v>
      </c>
      <c r="Z597" s="7" t="s">
        <v>40</v>
      </c>
      <c r="AE597" s="7" t="s">
        <v>43</v>
      </c>
      <c r="AG597" s="9">
        <v>40971.0</v>
      </c>
      <c r="AH597" s="9">
        <v>40971.0</v>
      </c>
    </row>
    <row r="598">
      <c r="A598" s="6" t="str">
        <f>HYPERLINK("https://archive.ph/o/kCXAs/https://web-beta.archive.org/web/20130315140312/http://clopfic.heroku.com/fics/848", "My Little Pillow")</f>
        <v>My Little Pillow</v>
      </c>
      <c r="D598" s="7" t="s">
        <v>37</v>
      </c>
      <c r="H598" s="8" t="s">
        <v>645</v>
      </c>
      <c r="I598" s="6" t="str">
        <f>HYPERLINK("https://archive.ph/o/kCXAs/https://web-beta.archive.org/web/20130315140312/http://clopfic.heroku.com/authors/246", "timmymonsta")</f>
        <v>timmymonsta</v>
      </c>
      <c r="M598" s="7" t="s">
        <v>56</v>
      </c>
      <c r="Z598" s="7" t="s">
        <v>40</v>
      </c>
      <c r="AF598" s="7" t="s">
        <v>41</v>
      </c>
      <c r="AG598" s="9">
        <v>40971.0</v>
      </c>
      <c r="AH598" s="9">
        <v>40971.0</v>
      </c>
    </row>
    <row r="599">
      <c r="A599" s="6" t="str">
        <f>HYPERLINK("https://archive.ph/o/kCXAs/https://web-beta.archive.org/web/20130315140312/http://clopfic.heroku.com/fics/847", "Feeling the Beat")</f>
        <v>Feeling the Beat</v>
      </c>
      <c r="H599" s="8" t="s">
        <v>646</v>
      </c>
      <c r="I599" s="6" t="str">
        <f>HYPERLINK("https://archive.ph/o/kCXAs/https://web-beta.archive.org/web/20130315140312/http://clopfic.heroku.com/authors/629", "Alexstrazsa")</f>
        <v>Alexstrazsa</v>
      </c>
      <c r="Z599" s="7" t="s">
        <v>40</v>
      </c>
      <c r="AE599" s="7" t="s">
        <v>43</v>
      </c>
      <c r="AG599" s="9">
        <v>40970.0</v>
      </c>
      <c r="AH599" s="9">
        <v>40970.0</v>
      </c>
    </row>
    <row r="600">
      <c r="A600" s="6" t="str">
        <f>HYPERLINK("https://archive.ph/o/kCXAs/https://web-beta.archive.org/web/20130315140312/http://clopfic.heroku.com/fics/845", "Rarity and the Depths of Desire")</f>
        <v>Rarity and the Depths of Desire</v>
      </c>
      <c r="D600" s="7" t="s">
        <v>37</v>
      </c>
      <c r="H600" s="8" t="s">
        <v>647</v>
      </c>
      <c r="I600" s="6" t="str">
        <f t="shared" ref="I600:I602" si="20">HYPERLINK("https://archive.ph/o/kCXAs/https://web-beta.archive.org/web/20130315140312/http://clopfic.heroku.com/authors/626", "Standard Namespace")</f>
        <v>Standard Namespace</v>
      </c>
      <c r="J600" s="7" t="s">
        <v>39</v>
      </c>
      <c r="N600" s="7" t="s">
        <v>47</v>
      </c>
      <c r="Z600" s="7" t="s">
        <v>40</v>
      </c>
      <c r="AF600" s="7" t="s">
        <v>41</v>
      </c>
      <c r="AG600" s="9">
        <v>40969.0</v>
      </c>
      <c r="AH600" s="9">
        <v>40969.0</v>
      </c>
    </row>
    <row r="601">
      <c r="A601" s="6" t="str">
        <f>HYPERLINK("https://archive.ph/o/kCXAs/https://web-beta.archive.org/web/20130315140312/http://clopfic.heroku.com/fics/844", "Rainbow Dash's Big Mouth")</f>
        <v>Rainbow Dash's Big Mouth</v>
      </c>
      <c r="H601" s="8" t="s">
        <v>648</v>
      </c>
      <c r="I601" s="6" t="str">
        <f t="shared" si="20"/>
        <v>Standard Namespace</v>
      </c>
      <c r="J601" s="7" t="s">
        <v>39</v>
      </c>
      <c r="M601" s="7" t="s">
        <v>56</v>
      </c>
      <c r="Z601" s="7" t="s">
        <v>40</v>
      </c>
      <c r="AF601" s="7" t="s">
        <v>41</v>
      </c>
      <c r="AG601" s="9">
        <v>40969.0</v>
      </c>
      <c r="AH601" s="9">
        <v>40969.0</v>
      </c>
    </row>
    <row r="602">
      <c r="A602" s="6" t="str">
        <f>HYPERLINK("https://archive.ph/o/kCXAs/https://web-beta.archive.org/web/20130315140312/http://clopfic.heroku.com/fics/843", "Twilight Sparkle Makes Her Move")</f>
        <v>Twilight Sparkle Makes Her Move</v>
      </c>
      <c r="E602" s="7" t="s">
        <v>44</v>
      </c>
      <c r="H602" s="8" t="s">
        <v>649</v>
      </c>
      <c r="I602" s="6" t="str">
        <f t="shared" si="20"/>
        <v>Standard Namespace</v>
      </c>
      <c r="J602" s="7" t="s">
        <v>39</v>
      </c>
      <c r="Z602" s="7" t="s">
        <v>40</v>
      </c>
      <c r="AF602" s="7" t="s">
        <v>41</v>
      </c>
      <c r="AG602" s="9">
        <v>40969.0</v>
      </c>
      <c r="AH602" s="9">
        <v>40969.0</v>
      </c>
    </row>
    <row r="603">
      <c r="A603" s="6" t="str">
        <f>HYPERLINK("https://archive.ph/o/kCXAs/https://web-beta.archive.org/web/20130315140312/http://clopfic.heroku.com/fics/841", "Stuck")</f>
        <v>Stuck</v>
      </c>
      <c r="E603" s="7" t="s">
        <v>44</v>
      </c>
      <c r="H603" s="8" t="s">
        <v>650</v>
      </c>
      <c r="I603" s="6" t="str">
        <f>HYPERLINK("https://archive.ph/o/kCXAs/https://web-beta.archive.org/web/20130315140312/http://clopfic.heroku.com/authors/624", "Callisto")</f>
        <v>Callisto</v>
      </c>
      <c r="L603" s="7" t="s">
        <v>62</v>
      </c>
      <c r="M603" s="7" t="s">
        <v>56</v>
      </c>
      <c r="AG603" s="9">
        <v>40968.0</v>
      </c>
      <c r="AH603" s="9">
        <v>40969.0</v>
      </c>
    </row>
    <row r="604">
      <c r="A604" s="6" t="str">
        <f>HYPERLINK("https://archive.ph/o/kCXAs/https://web-beta.archive.org/web/20130315140312/http://clopfic.heroku.com/fics/840", "Introverted Emotions")</f>
        <v>Introverted Emotions</v>
      </c>
      <c r="C604" s="7" t="s">
        <v>54</v>
      </c>
      <c r="E604" s="7" t="s">
        <v>44</v>
      </c>
      <c r="H604" s="8" t="s">
        <v>651</v>
      </c>
      <c r="I604" s="6" t="str">
        <f>HYPERLINK("https://archive.ph/o/kCXAs/https://web-beta.archive.org/web/20130315140312/http://clopfic.heroku.com/authors/622", "Paxtofettel")</f>
        <v>Paxtofettel</v>
      </c>
      <c r="N604" s="7" t="s">
        <v>47</v>
      </c>
      <c r="O604" s="7" t="s">
        <v>51</v>
      </c>
      <c r="AG604" s="9">
        <v>40967.0</v>
      </c>
      <c r="AH604" s="9">
        <v>40967.0</v>
      </c>
    </row>
    <row r="605">
      <c r="A605" s="6" t="str">
        <f>HYPERLINK("https://archive.ph/o/kCXAs/https://web-beta.archive.org/web/20130315140312/http://clopfic.heroku.com/fics/839", "New Studies.")</f>
        <v>New Studies.</v>
      </c>
      <c r="H605" s="8" t="s">
        <v>652</v>
      </c>
      <c r="I605" s="6" t="str">
        <f>HYPERLINK("https://archive.ph/o/kCXAs/https://web-beta.archive.org/web/20130315140312/http://clopfic.heroku.com/authors/621", "Anonymous.")</f>
        <v>Anonymous.</v>
      </c>
      <c r="J605" s="7" t="s">
        <v>39</v>
      </c>
      <c r="P605" s="7" t="s">
        <v>64</v>
      </c>
      <c r="V605" s="7" t="s">
        <v>71</v>
      </c>
      <c r="Z605" s="7" t="s">
        <v>40</v>
      </c>
      <c r="AE605" s="7" t="s">
        <v>43</v>
      </c>
      <c r="AG605" s="9">
        <v>40967.0</v>
      </c>
      <c r="AH605" s="9">
        <v>40967.0</v>
      </c>
    </row>
    <row r="606">
      <c r="A606" s="6" t="str">
        <f>HYPERLINK("https://archive.ph/o/kCXAs/https://web-beta.archive.org/web/20130315140312/http://clopfic.heroku.com/fics/837", "Red Hot Passion")</f>
        <v>Red Hot Passion</v>
      </c>
      <c r="D606" s="7" t="s">
        <v>37</v>
      </c>
      <c r="H606" s="8" t="s">
        <v>653</v>
      </c>
      <c r="I606" s="6" t="str">
        <f>HYPERLINK("https://archive.ph/o/kCXAs/https://web-beta.archive.org/web/20130315140312/http://clopfic.heroku.com/authors/619", "dat_flank")</f>
        <v>dat_flank</v>
      </c>
      <c r="R606" s="7" t="s">
        <v>66</v>
      </c>
      <c r="Z606" s="7" t="s">
        <v>40</v>
      </c>
      <c r="AF606" s="7" t="s">
        <v>41</v>
      </c>
      <c r="AG606" s="9">
        <v>40967.0</v>
      </c>
      <c r="AH606" s="9">
        <v>40967.0</v>
      </c>
    </row>
    <row r="607">
      <c r="A607" s="6" t="str">
        <f>HYPERLINK("https://archive.ph/o/kCXAs/https://web-beta.archive.org/web/20130315140312/http://clopfic.heroku.com/fics/836", "Dragon Passion")</f>
        <v>Dragon Passion</v>
      </c>
      <c r="E607" s="7" t="s">
        <v>44</v>
      </c>
      <c r="H607" s="8" t="s">
        <v>654</v>
      </c>
      <c r="I607" s="6" t="str">
        <f>HYPERLINK("https://archive.ph/o/kCXAs/https://web-beta.archive.org/web/20130315140312/http://clopfic.heroku.com/authors/618", "badboylover24")</f>
        <v>badboylover24</v>
      </c>
      <c r="N607" s="7" t="s">
        <v>47</v>
      </c>
      <c r="R607" s="7" t="s">
        <v>66</v>
      </c>
      <c r="AG607" s="9">
        <v>40967.0</v>
      </c>
      <c r="AH607" s="9">
        <v>40967.0</v>
      </c>
    </row>
    <row r="608">
      <c r="A608" s="6" t="str">
        <f>HYPERLINK("https://archive.ph/o/kCXAs/https://web-beta.archive.org/web/20130315140312/http://clopfic.heroku.com/fics/834", "Not Quite A Death Trap")</f>
        <v>Not Quite A Death Trap</v>
      </c>
      <c r="B608" s="7" t="s">
        <v>36</v>
      </c>
      <c r="H608" s="8" t="s">
        <v>655</v>
      </c>
      <c r="I608" s="6" t="str">
        <f>HYPERLINK("https://archive.ph/o/kCXAs/https://web-beta.archive.org/web/20130315140312/http://clopfic.heroku.com/authors/221", "SirTimotei")</f>
        <v>SirTimotei</v>
      </c>
      <c r="Z608" s="7" t="s">
        <v>40</v>
      </c>
      <c r="AE608" s="7" t="s">
        <v>43</v>
      </c>
      <c r="AG608" s="9">
        <v>40966.0</v>
      </c>
      <c r="AH608" s="9">
        <v>40966.0</v>
      </c>
    </row>
    <row r="609">
      <c r="A609" s="6" t="str">
        <f>HYPERLINK("https://archive.ph/o/kCXAs/https://web-beta.archive.org/web/20130315140312/http://clopfic.heroku.com/fics/833", "I've had enough, It's time for something real")</f>
        <v>I've had enough, It's time for something real</v>
      </c>
      <c r="E609" s="7" t="s">
        <v>44</v>
      </c>
      <c r="F609" s="7" t="s">
        <v>52</v>
      </c>
      <c r="H609" s="8" t="s">
        <v>656</v>
      </c>
      <c r="I609" s="6" t="str">
        <f>HYPERLINK("https://archive.ph/o/kCXAs/https://web-beta.archive.org/web/20130315140312/http://clopfic.heroku.com/authors/615", "RevolvingPonies")</f>
        <v>RevolvingPonies</v>
      </c>
      <c r="J609" s="7" t="s">
        <v>39</v>
      </c>
      <c r="K609" s="7" t="s">
        <v>49</v>
      </c>
      <c r="M609" s="7" t="s">
        <v>56</v>
      </c>
      <c r="O609" s="7" t="s">
        <v>51</v>
      </c>
      <c r="AG609" s="9">
        <v>40966.0</v>
      </c>
      <c r="AH609" s="9">
        <v>40966.0</v>
      </c>
    </row>
    <row r="610">
      <c r="A610" s="6" t="str">
        <f>HYPERLINK("https://archive.ph/o/kCXAs/https://web-beta.archive.org/web/20130315140312/http://clopfic.heroku.com/fics/641", "A collection of stories")</f>
        <v>A collection of stories</v>
      </c>
      <c r="B610" s="7" t="s">
        <v>36</v>
      </c>
      <c r="C610" s="7" t="s">
        <v>54</v>
      </c>
      <c r="D610" s="7" t="s">
        <v>37</v>
      </c>
      <c r="F610" s="7" t="s">
        <v>52</v>
      </c>
      <c r="H610" s="8" t="s">
        <v>657</v>
      </c>
      <c r="I610" s="6" t="str">
        <f>HYPERLINK("https://archive.ph/o/kCXAs/https://web-beta.archive.org/web/20130315140312/http://clopfic.heroku.com/authors/253", "TAW")</f>
        <v>TAW</v>
      </c>
      <c r="J610" s="7" t="s">
        <v>39</v>
      </c>
      <c r="K610" s="7" t="s">
        <v>49</v>
      </c>
      <c r="L610" s="7" t="s">
        <v>62</v>
      </c>
      <c r="M610" s="7" t="s">
        <v>56</v>
      </c>
      <c r="N610" s="7" t="s">
        <v>47</v>
      </c>
      <c r="O610" s="7" t="s">
        <v>51</v>
      </c>
      <c r="P610" s="7" t="s">
        <v>64</v>
      </c>
      <c r="S610" s="7" t="s">
        <v>68</v>
      </c>
      <c r="T610" s="7" t="s">
        <v>59</v>
      </c>
      <c r="U610" s="7" t="s">
        <v>60</v>
      </c>
      <c r="Y610" s="7" t="s">
        <v>184</v>
      </c>
      <c r="Z610" s="7" t="s">
        <v>40</v>
      </c>
      <c r="AD610" s="7" t="s">
        <v>111</v>
      </c>
      <c r="AE610" s="7" t="s">
        <v>43</v>
      </c>
      <c r="AF610" s="7" t="s">
        <v>41</v>
      </c>
      <c r="AG610" s="9">
        <v>40899.0</v>
      </c>
      <c r="AH610" s="9">
        <v>40966.0</v>
      </c>
    </row>
    <row r="611">
      <c r="A611" s="6" t="str">
        <f>HYPERLINK("https://archive.ph/o/kCXAs/https://web-beta.archive.org/web/20130315140312/http://clopfic.heroku.com/fics/831", "#26")</f>
        <v>#26</v>
      </c>
      <c r="D611" s="7" t="s">
        <v>37</v>
      </c>
      <c r="H611" s="8" t="s">
        <v>658</v>
      </c>
      <c r="I611" s="6" t="str">
        <f>HYPERLINK("https://archive.ph/o/kCXAs/https://web-beta.archive.org/web/20130315140312/http://clopfic.heroku.com/authors/613", "Steel Facade")</f>
        <v>Steel Facade</v>
      </c>
      <c r="J611" s="7" t="s">
        <v>39</v>
      </c>
      <c r="V611" s="7" t="s">
        <v>71</v>
      </c>
      <c r="AG611" s="9">
        <v>40965.0</v>
      </c>
      <c r="AH611" s="9">
        <v>40965.0</v>
      </c>
    </row>
    <row r="612">
      <c r="A612" s="6" t="str">
        <f>HYPERLINK("https://archive.ph/o/kCXAs/https://web-beta.archive.org/web/20130315140312/http://clopfic.heroku.com/fics/830", "Keenly Feeling Pinkie")</f>
        <v>Keenly Feeling Pinkie</v>
      </c>
      <c r="C612" s="7" t="s">
        <v>54</v>
      </c>
      <c r="E612" s="7" t="s">
        <v>44</v>
      </c>
      <c r="H612" s="8" t="s">
        <v>466</v>
      </c>
      <c r="I612" s="6" t="str">
        <f>HYPERLINK("https://archive.ph/o/kCXAs/https://web-beta.archive.org/web/20130315140312/http://clopfic.heroku.com/authors/253", "TAW")</f>
        <v>TAW</v>
      </c>
      <c r="K612" s="7" t="s">
        <v>49</v>
      </c>
      <c r="AG612" s="9">
        <v>40965.0</v>
      </c>
      <c r="AH612" s="9">
        <v>40965.0</v>
      </c>
    </row>
    <row r="613">
      <c r="A613" s="6" t="str">
        <f>HYPERLINK("https://archive.ph/o/kCXAs/https://web-beta.archive.org/web/20130315140312/http://clopfic.heroku.com/fics/766", "Powerjizz, or How Spike Stopped Being Frustrated and Learned to Love Two Mares")</f>
        <v>Powerjizz, or How Spike Stopped Being Frustrated and Learned to Love Two Mares</v>
      </c>
      <c r="E613" s="7" t="s">
        <v>44</v>
      </c>
      <c r="H613" s="8" t="s">
        <v>659</v>
      </c>
      <c r="I613" s="6" t="str">
        <f>HYPERLINK("https://archive.ph/o/kCXAs/https://web-beta.archive.org/web/20130315140312/http://clopfic.heroku.com/authors/551", "Trickquestion")</f>
        <v>Trickquestion</v>
      </c>
      <c r="J613" s="7" t="s">
        <v>39</v>
      </c>
      <c r="N613" s="7" t="s">
        <v>47</v>
      </c>
      <c r="R613" s="7" t="s">
        <v>66</v>
      </c>
      <c r="AG613" s="9">
        <v>40939.0</v>
      </c>
      <c r="AH613" s="9">
        <v>40964.0</v>
      </c>
    </row>
    <row r="614">
      <c r="A614" s="6" t="str">
        <f>HYPERLINK("https://archive.ph/o/kCXAs/https://web-beta.archive.org/web/20130315140312/http://clopfic.heroku.com/fics/827", "A Nightly Romance")</f>
        <v>A Nightly Romance</v>
      </c>
      <c r="E614" s="7" t="s">
        <v>44</v>
      </c>
      <c r="H614" s="8" t="s">
        <v>660</v>
      </c>
      <c r="I614" s="6" t="str">
        <f t="shared" ref="I614:I616" si="21">HYPERLINK("https://archive.ph/o/kCXAs/https://web-beta.archive.org/web/20130315140312/http://clopfic.heroku.com/authors/608", "SwiperTheFox")</f>
        <v>SwiperTheFox</v>
      </c>
      <c r="P614" s="7" t="s">
        <v>64</v>
      </c>
      <c r="Q614" s="7" t="s">
        <v>65</v>
      </c>
      <c r="Z614" s="7" t="s">
        <v>40</v>
      </c>
      <c r="AF614" s="7" t="s">
        <v>41</v>
      </c>
      <c r="AG614" s="9">
        <v>40964.0</v>
      </c>
      <c r="AH614" s="9">
        <v>40964.0</v>
      </c>
    </row>
    <row r="615">
      <c r="A615" s="6" t="str">
        <f>HYPERLINK("https://archive.ph/o/kCXAs/https://web-beta.archive.org/web/20130315140312/http://clopfic.heroku.com/fics/825", "30 Days In The Hole")</f>
        <v>30 Days In The Hole</v>
      </c>
      <c r="E615" s="7" t="s">
        <v>44</v>
      </c>
      <c r="H615" s="8" t="s">
        <v>661</v>
      </c>
      <c r="I615" s="6" t="str">
        <f t="shared" si="21"/>
        <v>SwiperTheFox</v>
      </c>
      <c r="Z615" s="7" t="s">
        <v>40</v>
      </c>
      <c r="AE615" s="7" t="s">
        <v>43</v>
      </c>
      <c r="AF615" s="7" t="s">
        <v>41</v>
      </c>
      <c r="AG615" s="9">
        <v>40964.0</v>
      </c>
      <c r="AH615" s="9">
        <v>40964.0</v>
      </c>
    </row>
    <row r="616">
      <c r="A616" s="6" t="str">
        <f>HYPERLINK("https://archive.ph/o/kCXAs/https://web-beta.archive.org/web/20130315140312/http://clopfic.heroku.com/fics/824", "Nightmare Date")</f>
        <v>Nightmare Date</v>
      </c>
      <c r="E616" s="7" t="s">
        <v>44</v>
      </c>
      <c r="H616" s="8" t="s">
        <v>662</v>
      </c>
      <c r="I616" s="6" t="str">
        <f t="shared" si="21"/>
        <v>SwiperTheFox</v>
      </c>
      <c r="O616" s="7" t="s">
        <v>51</v>
      </c>
      <c r="P616" s="7" t="s">
        <v>64</v>
      </c>
      <c r="Q616" s="7" t="s">
        <v>65</v>
      </c>
      <c r="Z616" s="7" t="s">
        <v>40</v>
      </c>
      <c r="AE616" s="7" t="s">
        <v>43</v>
      </c>
      <c r="AF616" s="7" t="s">
        <v>41</v>
      </c>
      <c r="AG616" s="9">
        <v>40964.0</v>
      </c>
      <c r="AH616" s="9">
        <v>40964.0</v>
      </c>
    </row>
    <row r="617">
      <c r="A617" s="6" t="str">
        <f>HYPERLINK("https://archive.ph/o/kCXAs/https://web-beta.archive.org/web/20130315140312/http://clopfic.heroku.com/fics/820", "Upon a Star")</f>
        <v>Upon a Star</v>
      </c>
      <c r="E617" s="7" t="s">
        <v>44</v>
      </c>
      <c r="H617" s="8" t="s">
        <v>663</v>
      </c>
      <c r="I617" s="6" t="str">
        <f>HYPERLINK("https://archive.ph/o/kCXAs/https://web-beta.archive.org/web/20130315140312/http://clopfic.heroku.com/authors/571", "Holla Jolla")</f>
        <v>Holla Jolla</v>
      </c>
      <c r="J617" s="7" t="s">
        <v>39</v>
      </c>
      <c r="M617" s="7" t="s">
        <v>56</v>
      </c>
      <c r="AG617" s="9">
        <v>40963.0</v>
      </c>
      <c r="AH617" s="9">
        <v>40963.0</v>
      </c>
    </row>
    <row r="618">
      <c r="A618" s="6" t="str">
        <f>HYPERLINK("https://archive.ph/o/kCXAs/https://web-beta.archive.org/web/20130315140312/http://clopfic.heroku.com/fics/819", "Operation Sexy Pony 2")</f>
        <v>Operation Sexy Pony 2</v>
      </c>
      <c r="H618" s="8" t="s">
        <v>664</v>
      </c>
      <c r="I618" s="6" t="str">
        <f>HYPERLINK("https://archive.ph/o/kCXAs/https://web-beta.archive.org/web/20130315140312/http://clopfic.heroku.com/authors/585", "FHM")</f>
        <v>FHM</v>
      </c>
      <c r="J618" s="7" t="s">
        <v>39</v>
      </c>
      <c r="AG618" s="9">
        <v>40963.0</v>
      </c>
      <c r="AH618" s="9">
        <v>40963.0</v>
      </c>
    </row>
    <row r="619">
      <c r="A619" s="6" t="str">
        <f>HYPERLINK("https://archive.ph/o/kCXAs/https://web-beta.archive.org/web/20130315140312/http://clopfic.heroku.com/fics/818", "Breaking Rarity")</f>
        <v>Breaking Rarity</v>
      </c>
      <c r="B619" s="7" t="s">
        <v>36</v>
      </c>
      <c r="D619" s="7" t="s">
        <v>37</v>
      </c>
      <c r="H619" s="8" t="s">
        <v>665</v>
      </c>
      <c r="I619" s="6" t="str">
        <f>HYPERLINK("https://archive.ph/o/kCXAs/https://web-beta.archive.org/web/20130315140312/http://clopfic.heroku.com/authors/746", "Flutterwhy4")</f>
        <v>Flutterwhy4</v>
      </c>
      <c r="N619" s="7" t="s">
        <v>47</v>
      </c>
      <c r="Z619" s="7" t="s">
        <v>40</v>
      </c>
      <c r="AF619" s="7" t="s">
        <v>41</v>
      </c>
      <c r="AG619" s="9">
        <v>40963.0</v>
      </c>
      <c r="AH619" s="9">
        <v>40963.0</v>
      </c>
    </row>
    <row r="620">
      <c r="A620" s="6" t="str">
        <f>HYPERLINK("https://archive.ph/o/kCXAs/https://web-beta.archive.org/web/20130315140312/http://clopfic.heroku.com/fics/815", "Filly Foolin' 2 - Campout Capers ")</f>
        <v>Filly Foolin' 2 - Campout Capers </v>
      </c>
      <c r="C620" s="7" t="s">
        <v>54</v>
      </c>
      <c r="D620" s="7" t="s">
        <v>37</v>
      </c>
      <c r="E620" s="7" t="s">
        <v>44</v>
      </c>
      <c r="H620" s="8" t="s">
        <v>666</v>
      </c>
      <c r="I620" s="6" t="str">
        <f>HYPERLINK("https://archive.ph/o/kCXAs/https://web-beta.archive.org/web/20130315140312/http://clopfic.heroku.com/authors/80", "Hotsauce")</f>
        <v>Hotsauce</v>
      </c>
      <c r="S620" s="7" t="s">
        <v>68</v>
      </c>
      <c r="T620" s="7" t="s">
        <v>59</v>
      </c>
      <c r="U620" s="7" t="s">
        <v>60</v>
      </c>
      <c r="Z620" s="7" t="s">
        <v>40</v>
      </c>
      <c r="AE620" s="7" t="s">
        <v>43</v>
      </c>
      <c r="AF620" s="7" t="s">
        <v>41</v>
      </c>
      <c r="AG620" s="9">
        <v>40962.0</v>
      </c>
      <c r="AH620" s="9">
        <v>40962.0</v>
      </c>
    </row>
    <row r="621">
      <c r="A621" s="6" t="str">
        <f>HYPERLINK("https://archive.ph/o/kCXAs/https://web-beta.archive.org/web/20130315140312/http://clopfic.heroku.com/fics/811", "Girls do NOT want to date bellhops.")</f>
        <v>Girls do NOT want to date bellhops.</v>
      </c>
      <c r="E621" s="7" t="s">
        <v>44</v>
      </c>
      <c r="H621" s="8" t="s">
        <v>667</v>
      </c>
      <c r="I621" s="6" t="str">
        <f>HYPERLINK("https://archive.ph/o/kCXAs/https://web-beta.archive.org/web/20130315140312/http://clopfic.heroku.com/authors/601", "meep288")</f>
        <v>meep288</v>
      </c>
      <c r="AE621" s="7" t="s">
        <v>43</v>
      </c>
      <c r="AG621" s="9">
        <v>40960.0</v>
      </c>
      <c r="AH621" s="9">
        <v>40960.0</v>
      </c>
    </row>
    <row r="622">
      <c r="A622" s="6" t="str">
        <f>HYPERLINK("https://archive.ph/o/kCXAs/https://web-beta.archive.org/web/20130315140312/http://clopfic.heroku.com/fics/810", "The Super Speedy Something Squeezy")</f>
        <v>The Super Speedy Something Squeezy</v>
      </c>
      <c r="C622" s="7" t="s">
        <v>54</v>
      </c>
      <c r="H622" s="8" t="s">
        <v>668</v>
      </c>
      <c r="I622" s="6" t="str">
        <f>HYPERLINK("https://archive.ph/o/kCXAs/https://web-beta.archive.org/web/20130315140312/http://clopfic.heroku.com/authors/253", "TAW")</f>
        <v>TAW</v>
      </c>
      <c r="AF622" s="7" t="s">
        <v>41</v>
      </c>
      <c r="AG622" s="9">
        <v>40960.0</v>
      </c>
      <c r="AH622" s="9">
        <v>40960.0</v>
      </c>
    </row>
    <row r="623">
      <c r="A623" s="6" t="str">
        <f>HYPERLINK("https://archive.ph/o/kCXAs/https://web-beta.archive.org/web/20130315140312/http://clopfic.heroku.com/fics/809", "A Debt to Pay")</f>
        <v>A Debt to Pay</v>
      </c>
      <c r="B623" s="7" t="s">
        <v>36</v>
      </c>
      <c r="D623" s="7" t="s">
        <v>37</v>
      </c>
      <c r="H623" s="8" t="s">
        <v>669</v>
      </c>
      <c r="I623" s="6" t="str">
        <f>HYPERLINK("https://archive.ph/o/kCXAs/https://web-beta.archive.org/web/20130315140312/http://clopfic.heroku.com/authors/68", "DarkJester")</f>
        <v>DarkJester</v>
      </c>
      <c r="M623" s="7" t="s">
        <v>56</v>
      </c>
      <c r="N623" s="7" t="s">
        <v>47</v>
      </c>
      <c r="Z623" s="7" t="s">
        <v>40</v>
      </c>
      <c r="AF623" s="7" t="s">
        <v>41</v>
      </c>
      <c r="AG623" s="9">
        <v>40959.0</v>
      </c>
      <c r="AH623" s="9">
        <v>40959.0</v>
      </c>
    </row>
    <row r="624">
      <c r="A624" s="6" t="str">
        <f>HYPERLINK("https://archive.ph/o/kCXAs/https://web-beta.archive.org/web/20130315140312/http://clopfic.heroku.com/fics/808", "As the Cold Wind Blows")</f>
        <v>As the Cold Wind Blows</v>
      </c>
      <c r="E624" s="7" t="s">
        <v>44</v>
      </c>
      <c r="H624" s="8" t="s">
        <v>670</v>
      </c>
      <c r="I624" s="6" t="str">
        <f>HYPERLINK("https://archive.ph/o/kCXAs/https://web-beta.archive.org/web/20130315140312/http://clopfic.heroku.com/authors/597", "BrianTheSparityFan")</f>
        <v>BrianTheSparityFan</v>
      </c>
      <c r="N624" s="7" t="s">
        <v>47</v>
      </c>
      <c r="R624" s="7" t="s">
        <v>66</v>
      </c>
      <c r="AG624" s="9">
        <v>40958.0</v>
      </c>
      <c r="AH624" s="9">
        <v>40958.0</v>
      </c>
    </row>
    <row r="625">
      <c r="A625" s="6" t="str">
        <f>HYPERLINK("https://archive.ph/o/kCXAs/https://web-beta.archive.org/web/20130315140312/http://clopfic.heroku.com/fics/709", "Twilight's Watersports Inclination")</f>
        <v>Twilight's Watersports Inclination</v>
      </c>
      <c r="D625" s="7" t="s">
        <v>37</v>
      </c>
      <c r="E625" s="7" t="s">
        <v>44</v>
      </c>
      <c r="F625" s="7" t="s">
        <v>52</v>
      </c>
      <c r="H625" s="8" t="s">
        <v>671</v>
      </c>
      <c r="I625" s="6" t="str">
        <f>HYPERLINK("https://archive.ph/o/kCXAs/https://web-beta.archive.org/web/20130315140312/http://clopfic.heroku.com/authors/237", "HighLevelTeen")</f>
        <v>HighLevelTeen</v>
      </c>
      <c r="J625" s="7" t="s">
        <v>39</v>
      </c>
      <c r="L625" s="7" t="s">
        <v>62</v>
      </c>
      <c r="M625" s="7" t="s">
        <v>56</v>
      </c>
      <c r="N625" s="7" t="s">
        <v>47</v>
      </c>
      <c r="O625" s="7" t="s">
        <v>51</v>
      </c>
      <c r="R625" s="7" t="s">
        <v>66</v>
      </c>
      <c r="AG625" s="9">
        <v>40918.0</v>
      </c>
      <c r="AH625" s="9">
        <v>40958.0</v>
      </c>
    </row>
    <row r="626">
      <c r="A626" s="6" t="str">
        <f>HYPERLINK("https://archive.ph/o/kCXAs/https://web-beta.archive.org/web/20130315140312/http://clopfic.heroku.com/fics/807", "Sweet as Silk")</f>
        <v>Sweet as Silk</v>
      </c>
      <c r="C626" s="7" t="s">
        <v>54</v>
      </c>
      <c r="D626" s="7" t="s">
        <v>37</v>
      </c>
      <c r="E626" s="7" t="s">
        <v>44</v>
      </c>
      <c r="H626" s="8" t="s">
        <v>672</v>
      </c>
      <c r="I626" s="6" t="str">
        <f>HYPERLINK("https://archive.ph/o/kCXAs/https://web-beta.archive.org/web/20130315140312/http://clopfic.heroku.com/authors/253", "TAW")</f>
        <v>TAW</v>
      </c>
      <c r="J626" s="7" t="s">
        <v>39</v>
      </c>
      <c r="Z626" s="7" t="s">
        <v>40</v>
      </c>
      <c r="AF626" s="7" t="s">
        <v>41</v>
      </c>
      <c r="AG626" s="9">
        <v>40957.0</v>
      </c>
      <c r="AH626" s="9">
        <v>40957.0</v>
      </c>
    </row>
    <row r="627">
      <c r="A627" s="6" t="str">
        <f>HYPERLINK("https://archive.ph/o/kCXAs/https://web-beta.archive.org/web/20130315140312/http://clopfic.heroku.com/fics/806", "Private Show")</f>
        <v>Private Show</v>
      </c>
      <c r="E627" s="7" t="s">
        <v>44</v>
      </c>
      <c r="H627" s="8" t="s">
        <v>673</v>
      </c>
      <c r="I627" s="6" t="str">
        <f>HYPERLINK("https://archive.ph/o/kCXAs/https://web-beta.archive.org/web/20130315140312/http://clopfic.heroku.com/authors/355", "Liquid Rainbows")</f>
        <v>Liquid Rainbows</v>
      </c>
      <c r="W627" s="7" t="s">
        <v>69</v>
      </c>
      <c r="Z627" s="7" t="s">
        <v>40</v>
      </c>
      <c r="AF627" s="7" t="s">
        <v>41</v>
      </c>
      <c r="AG627" s="9">
        <v>40957.0</v>
      </c>
      <c r="AH627" s="9">
        <v>40957.0</v>
      </c>
    </row>
    <row r="628">
      <c r="A628" s="6" t="str">
        <f>HYPERLINK("https://archive.ph/o/kCXAs/https://web-beta.archive.org/web/20130315140312/http://clopfic.heroku.com/fics/805", "Lavender Sheets")</f>
        <v>Lavender Sheets</v>
      </c>
      <c r="E628" s="7" t="s">
        <v>44</v>
      </c>
      <c r="H628" s="8" t="s">
        <v>674</v>
      </c>
      <c r="I628" s="6" t="str">
        <f>HYPERLINK("https://archive.ph/o/kCXAs/https://web-beta.archive.org/web/20130315140312/http://clopfic.heroku.com/authors/253", "TAW")</f>
        <v>TAW</v>
      </c>
      <c r="J628" s="7" t="s">
        <v>39</v>
      </c>
      <c r="N628" s="7" t="s">
        <v>47</v>
      </c>
      <c r="AG628" s="9">
        <v>40956.0</v>
      </c>
      <c r="AH628" s="9">
        <v>40956.0</v>
      </c>
    </row>
    <row r="629">
      <c r="A629" s="6" t="str">
        <f>HYPERLINK("https://archive.ph/o/kCXAs/https://web-beta.archive.org/web/20130315140312/http://clopfic.heroku.com/fics/804", "The Colors of Chaos")</f>
        <v>The Colors of Chaos</v>
      </c>
      <c r="E629" s="7" t="s">
        <v>44</v>
      </c>
      <c r="H629" s="8" t="s">
        <v>675</v>
      </c>
      <c r="I629" s="6" t="str">
        <f>HYPERLINK("https://archive.ph/o/kCXAs/https://web-beta.archive.org/web/20130315140312/http://clopfic.heroku.com/authors/355", "Liquid Rainbows")</f>
        <v>Liquid Rainbows</v>
      </c>
      <c r="K629" s="7" t="s">
        <v>49</v>
      </c>
      <c r="Z629" s="7" t="s">
        <v>40</v>
      </c>
      <c r="AF629" s="7" t="s">
        <v>41</v>
      </c>
      <c r="AG629" s="9">
        <v>40955.0</v>
      </c>
      <c r="AH629" s="9">
        <v>40955.0</v>
      </c>
    </row>
    <row r="630">
      <c r="A630" s="6" t="str">
        <f>HYPERLINK("https://archive.ph/o/kCXAs/https://web-beta.archive.org/web/20130315140312/http://clopfic.heroku.com/fics/803", "Daring Do and Rainbow Dash and the Trials of Temptation")</f>
        <v>Daring Do and Rainbow Dash and the Trials of Temptation</v>
      </c>
      <c r="E630" s="7" t="s">
        <v>44</v>
      </c>
      <c r="H630" s="8" t="s">
        <v>676</v>
      </c>
      <c r="I630" s="6" t="str">
        <f>HYPERLINK("https://archive.ph/o/kCXAs/https://web-beta.archive.org/web/20130315140312/http://clopfic.heroku.com/authors/253", "TAW")</f>
        <v>TAW</v>
      </c>
      <c r="J630" s="7" t="s">
        <v>39</v>
      </c>
      <c r="M630" s="7" t="s">
        <v>56</v>
      </c>
      <c r="Z630" s="7" t="s">
        <v>40</v>
      </c>
      <c r="AE630" s="7" t="s">
        <v>43</v>
      </c>
      <c r="AG630" s="9">
        <v>40954.0</v>
      </c>
      <c r="AH630" s="9">
        <v>40954.0</v>
      </c>
    </row>
    <row r="631">
      <c r="A631" s="6" t="str">
        <f>HYPERLINK("https://archive.ph/o/kCXAs/https://web-beta.archive.org/web/20130315140312/http://clopfic.heroku.com/fics/634", "What Happens in Ponyville...")</f>
        <v>What Happens in Ponyville...</v>
      </c>
      <c r="D631" s="7" t="s">
        <v>37</v>
      </c>
      <c r="E631" s="7" t="s">
        <v>44</v>
      </c>
      <c r="F631" s="7" t="s">
        <v>52</v>
      </c>
      <c r="H631" s="8" t="s">
        <v>677</v>
      </c>
      <c r="I631" s="6" t="str">
        <f>HYPERLINK("https://archive.ph/o/kCXAs/https://web-beta.archive.org/web/20130315140312/http://clopfic.heroku.com/authors/553", "ImJustAnotherBrony")</f>
        <v>ImJustAnotherBrony</v>
      </c>
      <c r="J631" s="7" t="s">
        <v>39</v>
      </c>
      <c r="K631" s="7" t="s">
        <v>49</v>
      </c>
      <c r="L631" s="7" t="s">
        <v>62</v>
      </c>
      <c r="M631" s="7" t="s">
        <v>56</v>
      </c>
      <c r="N631" s="7" t="s">
        <v>47</v>
      </c>
      <c r="O631" s="7" t="s">
        <v>51</v>
      </c>
      <c r="P631" s="7" t="s">
        <v>64</v>
      </c>
      <c r="Q631" s="7" t="s">
        <v>65</v>
      </c>
      <c r="R631" s="7" t="s">
        <v>66</v>
      </c>
      <c r="T631" s="7" t="s">
        <v>59</v>
      </c>
      <c r="W631" s="7" t="s">
        <v>69</v>
      </c>
      <c r="AG631" s="9">
        <v>40896.0</v>
      </c>
      <c r="AH631" s="9">
        <v>40954.0</v>
      </c>
    </row>
    <row r="632">
      <c r="A632" s="6" t="str">
        <f>HYPERLINK("https://archive.ph/o/kCXAs/https://web-beta.archive.org/web/20130315140312/http://clopfic.heroku.com/fics/801", "The Sexy Adventures Of [Insert Your Name Here]")</f>
        <v>The Sexy Adventures Of [Insert Your Name Here]</v>
      </c>
      <c r="D632" s="7" t="s">
        <v>37</v>
      </c>
      <c r="E632" s="7" t="s">
        <v>44</v>
      </c>
      <c r="H632" s="8" t="s">
        <v>678</v>
      </c>
      <c r="I632" s="6" t="str">
        <f t="shared" ref="I632:I633" si="22">HYPERLINK("https://archive.ph/o/kCXAs/https://web-beta.archive.org/web/20130315140312/http://clopfic.heroku.com/authors/193", "TheCrazyDumbass")</f>
        <v>TheCrazyDumbass</v>
      </c>
      <c r="V632" s="7" t="s">
        <v>71</v>
      </c>
      <c r="Z632" s="7" t="s">
        <v>40</v>
      </c>
      <c r="AD632" s="7" t="s">
        <v>111</v>
      </c>
      <c r="AF632" s="7" t="s">
        <v>41</v>
      </c>
      <c r="AG632" s="9">
        <v>40954.0</v>
      </c>
      <c r="AH632" s="9">
        <v>40954.0</v>
      </c>
    </row>
    <row r="633">
      <c r="A633" s="6" t="str">
        <f>HYPERLINK("https://archive.ph/o/kCXAs/https://web-beta.archive.org/web/20130315140312/http://clopfic.heroku.com/fics/800", "SPIKE SMASH!!!!!!!")</f>
        <v>SPIKE SMASH!!!!!!!</v>
      </c>
      <c r="E633" s="7" t="s">
        <v>44</v>
      </c>
      <c r="H633" s="8" t="s">
        <v>679</v>
      </c>
      <c r="I633" s="6" t="str">
        <f t="shared" si="22"/>
        <v>TheCrazyDumbass</v>
      </c>
      <c r="J633" s="7" t="s">
        <v>39</v>
      </c>
      <c r="K633" s="7" t="s">
        <v>49</v>
      </c>
      <c r="N633" s="7" t="s">
        <v>47</v>
      </c>
      <c r="O633" s="7" t="s">
        <v>51</v>
      </c>
      <c r="P633" s="7" t="s">
        <v>64</v>
      </c>
      <c r="R633" s="7" t="s">
        <v>66</v>
      </c>
      <c r="W633" s="7" t="s">
        <v>69</v>
      </c>
      <c r="Z633" s="7" t="s">
        <v>40</v>
      </c>
      <c r="AE633" s="7" t="s">
        <v>43</v>
      </c>
      <c r="AG633" s="9">
        <v>40954.0</v>
      </c>
      <c r="AH633" s="9">
        <v>40954.0</v>
      </c>
    </row>
    <row r="634">
      <c r="A634" s="6" t="str">
        <f>HYPERLINK("https://archive.ph/o/kCXAs/https://web-beta.archive.org/web/20130315140312/http://clopfic.heroku.com/fics/802", "Jack/Off")</f>
        <v>Jack/Off</v>
      </c>
      <c r="D634" s="7" t="s">
        <v>37</v>
      </c>
      <c r="H634" s="8" t="s">
        <v>680</v>
      </c>
      <c r="I634" s="6" t="str">
        <f>HYPERLINK("https://archive.ph/o/kCXAs/https://web-beta.archive.org/web/20130315140312/http://clopfic.heroku.com/authors/247", "One Terrible Writer")</f>
        <v>One Terrible Writer</v>
      </c>
      <c r="L634" s="7" t="s">
        <v>62</v>
      </c>
      <c r="M634" s="7" t="s">
        <v>56</v>
      </c>
      <c r="AG634" s="9">
        <v>40954.0</v>
      </c>
      <c r="AH634" s="9">
        <v>40954.0</v>
      </c>
    </row>
    <row r="635">
      <c r="A635" s="6" t="str">
        <f>HYPERLINK("https://archive.ph/o/kCXAs/https://web-beta.archive.org/web/20130315140312/http://clopfic.heroku.com/fics/799", "The Great and Powerful Trixie and Those Extraordinary Twins")</f>
        <v>The Great and Powerful Trixie and Those Extraordinary Twins</v>
      </c>
      <c r="B635" s="7" t="s">
        <v>36</v>
      </c>
      <c r="H635" s="8" t="s">
        <v>681</v>
      </c>
      <c r="I635" s="6" t="str">
        <f>HYPERLINK("https://archive.ph/o/kCXAs/https://web-beta.archive.org/web/20130315140312/http://clopfic.heroku.com/authors/378", "Shivered Timbers")</f>
        <v>Shivered Timbers</v>
      </c>
      <c r="W635" s="7" t="s">
        <v>69</v>
      </c>
      <c r="Z635" s="7" t="s">
        <v>40</v>
      </c>
      <c r="AE635" s="7" t="s">
        <v>43</v>
      </c>
      <c r="AG635" s="9">
        <v>40954.0</v>
      </c>
      <c r="AH635" s="9">
        <v>40954.0</v>
      </c>
    </row>
    <row r="636">
      <c r="A636" s="6" t="str">
        <f>HYPERLINK("https://archive.ph/o/kCXAs/https://web-beta.archive.org/web/20130315140312/http://clopfic.heroku.com/fics/583", "Royal Pleasures")</f>
        <v>Royal Pleasures</v>
      </c>
      <c r="B636" s="7" t="s">
        <v>36</v>
      </c>
      <c r="D636" s="7" t="s">
        <v>37</v>
      </c>
      <c r="E636" s="7" t="s">
        <v>44</v>
      </c>
      <c r="F636" s="7" t="s">
        <v>52</v>
      </c>
      <c r="H636" s="8" t="s">
        <v>682</v>
      </c>
      <c r="I636" s="6" t="str">
        <f>HYPERLINK("https://archive.ph/o/kCXAs/https://web-beta.archive.org/web/20130315140312/http://clopfic.heroku.com/authors/568", "SoulHook")</f>
        <v>SoulHook</v>
      </c>
      <c r="J636" s="7" t="s">
        <v>39</v>
      </c>
      <c r="K636" s="7" t="s">
        <v>49</v>
      </c>
      <c r="L636" s="7" t="s">
        <v>62</v>
      </c>
      <c r="M636" s="7" t="s">
        <v>56</v>
      </c>
      <c r="N636" s="7" t="s">
        <v>47</v>
      </c>
      <c r="O636" s="7" t="s">
        <v>51</v>
      </c>
      <c r="P636" s="7" t="s">
        <v>64</v>
      </c>
      <c r="Q636" s="7" t="s">
        <v>65</v>
      </c>
      <c r="R636" s="7" t="s">
        <v>66</v>
      </c>
      <c r="S636" s="7" t="s">
        <v>68</v>
      </c>
      <c r="T636" s="7" t="s">
        <v>59</v>
      </c>
      <c r="U636" s="7" t="s">
        <v>60</v>
      </c>
      <c r="V636" s="7" t="s">
        <v>71</v>
      </c>
      <c r="W636" s="7" t="s">
        <v>69</v>
      </c>
      <c r="X636" s="7" t="s">
        <v>107</v>
      </c>
      <c r="Y636" s="7" t="s">
        <v>184</v>
      </c>
      <c r="Z636" s="7" t="s">
        <v>40</v>
      </c>
      <c r="AA636" s="7" t="s">
        <v>113</v>
      </c>
      <c r="AB636" s="7" t="s">
        <v>101</v>
      </c>
      <c r="AC636" s="7" t="s">
        <v>102</v>
      </c>
      <c r="AD636" s="7" t="s">
        <v>111</v>
      </c>
      <c r="AE636" s="7" t="s">
        <v>43</v>
      </c>
      <c r="AF636" s="7" t="s">
        <v>41</v>
      </c>
      <c r="AG636" s="9">
        <v>40877.0</v>
      </c>
      <c r="AH636" s="9">
        <v>40953.0</v>
      </c>
    </row>
    <row r="637">
      <c r="A637" s="6" t="str">
        <f>HYPERLINK("https://archive.ph/o/kCXAs/https://web-beta.archive.org/web/20130315140312/http://clopfic.heroku.com/fics/796", "Waiting Behind Closed Curtains")</f>
        <v>Waiting Behind Closed Curtains</v>
      </c>
      <c r="D637" s="7" t="s">
        <v>37</v>
      </c>
      <c r="E637" s="7" t="s">
        <v>44</v>
      </c>
      <c r="F637" s="7" t="s">
        <v>52</v>
      </c>
      <c r="H637" s="8" t="s">
        <v>683</v>
      </c>
      <c r="I637" s="6" t="str">
        <f>HYPERLINK("https://archive.ph/o/kCXAs/https://web-beta.archive.org/web/20130315140312/http://clopfic.heroku.com/authors/593", "bassofthe")</f>
        <v>bassofthe</v>
      </c>
      <c r="J637" s="7" t="s">
        <v>39</v>
      </c>
      <c r="L637" s="7" t="s">
        <v>62</v>
      </c>
      <c r="M637" s="7" t="s">
        <v>56</v>
      </c>
      <c r="O637" s="7" t="s">
        <v>51</v>
      </c>
      <c r="P637" s="7" t="s">
        <v>64</v>
      </c>
      <c r="Q637" s="7" t="s">
        <v>65</v>
      </c>
      <c r="V637" s="7" t="s">
        <v>71</v>
      </c>
      <c r="W637" s="7" t="s">
        <v>69</v>
      </c>
      <c r="Z637" s="7" t="s">
        <v>40</v>
      </c>
      <c r="AF637" s="7" t="s">
        <v>41</v>
      </c>
      <c r="AG637" s="9">
        <v>40953.0</v>
      </c>
      <c r="AH637" s="9">
        <v>40953.0</v>
      </c>
    </row>
    <row r="638">
      <c r="A638" s="6" t="str">
        <f>HYPERLINK("https://archive.ph/o/kCXAs/https://web-beta.archive.org/web/20130315140312/http://clopfic.heroku.com/fics/795", "Bittersweet")</f>
        <v>Bittersweet</v>
      </c>
      <c r="C638" s="7" t="s">
        <v>54</v>
      </c>
      <c r="E638" s="7" t="s">
        <v>44</v>
      </c>
      <c r="H638" s="8" t="s">
        <v>684</v>
      </c>
      <c r="I638" s="6" t="str">
        <f>HYPERLINK("https://archive.ph/o/kCXAs/https://web-beta.archive.org/web/20130315140312/http://clopfic.heroku.com/authors/1", "RagingSemi")</f>
        <v>RagingSemi</v>
      </c>
      <c r="K638" s="7" t="s">
        <v>49</v>
      </c>
      <c r="AG638" s="9">
        <v>40952.0</v>
      </c>
      <c r="AH638" s="9">
        <v>40952.0</v>
      </c>
    </row>
    <row r="639">
      <c r="A639" s="6" t="str">
        <f>HYPERLINK("https://archive.ph/o/kCXAs/https://web-beta.archive.org/web/20130315140312/http://clopfic.heroku.com/fics/790", "Fluttering Hearts")</f>
        <v>Fluttering Hearts</v>
      </c>
      <c r="E639" s="7" t="s">
        <v>44</v>
      </c>
      <c r="H639" s="8" t="s">
        <v>685</v>
      </c>
      <c r="I639" s="6" t="str">
        <f>HYPERLINK("https://archive.ph/o/kCXAs/https://web-beta.archive.org/web/20130315140312/http://clopfic.heroku.com/authors/584", "Cloperella")</f>
        <v>Cloperella</v>
      </c>
      <c r="L639" s="7" t="s">
        <v>62</v>
      </c>
      <c r="O639" s="7" t="s">
        <v>51</v>
      </c>
      <c r="V639" s="7" t="s">
        <v>71</v>
      </c>
      <c r="AG639" s="9">
        <v>40948.0</v>
      </c>
      <c r="AH639" s="9">
        <v>40951.0</v>
      </c>
    </row>
    <row r="640">
      <c r="A640" s="6" t="str">
        <f>HYPERLINK("https://archive.ph/o/kCXAs/https://web-beta.archive.org/web/20130315140312/http://clopfic.heroku.com/fics/794", "Maturity")</f>
        <v>Maturity</v>
      </c>
      <c r="H640" s="8" t="s">
        <v>686</v>
      </c>
      <c r="I640" s="6" t="str">
        <f>HYPERLINK("https://archive.ph/o/kCXAs/https://web-beta.archive.org/web/20130315140312/http://clopfic.heroku.com/authors/592", "Jacetheponysculptor")</f>
        <v>Jacetheponysculptor</v>
      </c>
      <c r="S640" s="7" t="s">
        <v>68</v>
      </c>
      <c r="Z640" s="7" t="s">
        <v>40</v>
      </c>
      <c r="AE640" s="7" t="s">
        <v>43</v>
      </c>
      <c r="AG640" s="9">
        <v>40951.0</v>
      </c>
      <c r="AH640" s="9">
        <v>40951.0</v>
      </c>
    </row>
    <row r="641">
      <c r="A641" s="6" t="str">
        <f>HYPERLINK("https://archive.ph/o/kCXAs/https://web-beta.archive.org/web/20130315140312/http://clopfic.heroku.com/fics/721", "Initiation")</f>
        <v>Initiation</v>
      </c>
      <c r="B641" s="7" t="s">
        <v>36</v>
      </c>
      <c r="D641" s="7" t="s">
        <v>37</v>
      </c>
      <c r="H641" s="8" t="s">
        <v>687</v>
      </c>
      <c r="I641" s="6" t="str">
        <f>HYPERLINK("https://archive.ph/o/kCXAs/https://web-beta.archive.org/web/20130315140312/http://clopfic.heroku.com/authors/76", "Fickle")</f>
        <v>Fickle</v>
      </c>
      <c r="P641" s="7" t="s">
        <v>64</v>
      </c>
      <c r="Q641" s="7" t="s">
        <v>65</v>
      </c>
      <c r="Z641" s="7" t="s">
        <v>40</v>
      </c>
      <c r="AF641" s="7" t="s">
        <v>41</v>
      </c>
      <c r="AG641" s="9">
        <v>40923.0</v>
      </c>
      <c r="AH641" s="9">
        <v>40950.0</v>
      </c>
    </row>
    <row r="642">
      <c r="A642" s="6" t="str">
        <f>HYPERLINK("https://archive.ph/o/kCXAs/https://web-beta.archive.org/web/20130315140312/http://clopfic.heroku.com/fics/530", "The Rise Of")</f>
        <v>The Rise Of</v>
      </c>
      <c r="D642" s="7" t="s">
        <v>37</v>
      </c>
      <c r="E642" s="7" t="s">
        <v>44</v>
      </c>
      <c r="H642" s="8" t="s">
        <v>688</v>
      </c>
      <c r="I642" s="6" t="str">
        <f t="shared" ref="I642:I643" si="23">HYPERLINK("https://archive.ph/o/kCXAs/https://web-beta.archive.org/web/20130315140312/http://clopfic.heroku.com/authors/799", "celestiawept")</f>
        <v>celestiawept</v>
      </c>
      <c r="Z642" s="7" t="s">
        <v>40</v>
      </c>
      <c r="AF642" s="7" t="s">
        <v>41</v>
      </c>
      <c r="AG642" s="9">
        <v>40833.0</v>
      </c>
      <c r="AH642" s="9">
        <v>40950.0</v>
      </c>
    </row>
    <row r="643">
      <c r="A643" s="6" t="str">
        <f>HYPERLINK("https://archive.ph/o/kCXAs/https://web-beta.archive.org/web/20130315140312/http://clopfic.heroku.com/fics/793", "PONYHELL~")</f>
        <v>PONYHELL~</v>
      </c>
      <c r="D643" s="7" t="s">
        <v>37</v>
      </c>
      <c r="E643" s="7" t="s">
        <v>44</v>
      </c>
      <c r="H643" s="8" t="s">
        <v>689</v>
      </c>
      <c r="I643" s="6" t="str">
        <f t="shared" si="23"/>
        <v>celestiawept</v>
      </c>
      <c r="Z643" s="7" t="s">
        <v>40</v>
      </c>
      <c r="AF643" s="7" t="s">
        <v>41</v>
      </c>
      <c r="AG643" s="9">
        <v>40950.0</v>
      </c>
      <c r="AH643" s="9">
        <v>40950.0</v>
      </c>
    </row>
    <row r="644">
      <c r="A644" s="6" t="str">
        <f>HYPERLINK("https://archive.ph/o/kCXAs/https://web-beta.archive.org/web/20130315140312/http://clopfic.heroku.com/fics/730", "Red Star")</f>
        <v>Red Star</v>
      </c>
      <c r="B644" s="7" t="s">
        <v>36</v>
      </c>
      <c r="D644" s="7" t="s">
        <v>37</v>
      </c>
      <c r="E644" s="7" t="s">
        <v>44</v>
      </c>
      <c r="F644" s="7" t="s">
        <v>52</v>
      </c>
      <c r="H644" s="8" t="s">
        <v>690</v>
      </c>
      <c r="I644" s="6" t="str">
        <f>HYPERLINK("https://archive.ph/o/kCXAs/https://web-beta.archive.org/web/20130315140312/http://clopfic.heroku.com/authors/587", "Unfamous Man")</f>
        <v>Unfamous Man</v>
      </c>
      <c r="J644" s="7" t="s">
        <v>39</v>
      </c>
      <c r="K644" s="7" t="s">
        <v>49</v>
      </c>
      <c r="L644" s="7" t="s">
        <v>62</v>
      </c>
      <c r="M644" s="7" t="s">
        <v>56</v>
      </c>
      <c r="N644" s="7" t="s">
        <v>47</v>
      </c>
      <c r="O644" s="7" t="s">
        <v>51</v>
      </c>
      <c r="R644" s="7" t="s">
        <v>66</v>
      </c>
      <c r="V644" s="7" t="s">
        <v>71</v>
      </c>
      <c r="Z644" s="7" t="s">
        <v>40</v>
      </c>
      <c r="AE644" s="7" t="s">
        <v>43</v>
      </c>
      <c r="AF644" s="7" t="s">
        <v>41</v>
      </c>
      <c r="AG644" s="9">
        <v>40925.0</v>
      </c>
      <c r="AH644" s="9">
        <v>40949.0</v>
      </c>
    </row>
    <row r="645">
      <c r="A645" s="6" t="str">
        <f>HYPERLINK("https://archive.ph/o/kCXAs/https://web-beta.archive.org/web/20130315140312/http://clopfic.heroku.com/fics/792", "Lily's Medication")</f>
        <v>Lily's Medication</v>
      </c>
      <c r="D645" s="7" t="s">
        <v>37</v>
      </c>
      <c r="G645" s="7" t="s">
        <v>75</v>
      </c>
      <c r="H645" s="8" t="s">
        <v>691</v>
      </c>
      <c r="I645" s="6" t="str">
        <f>HYPERLINK("https://archive.ph/o/kCXAs/https://web-beta.archive.org/web/20130315140312/http://clopfic.heroku.com/authors/79", "NTSTS")</f>
        <v>NTSTS</v>
      </c>
      <c r="Z645" s="7" t="s">
        <v>40</v>
      </c>
      <c r="AE645" s="7" t="s">
        <v>43</v>
      </c>
      <c r="AG645" s="9">
        <v>40949.0</v>
      </c>
      <c r="AH645" s="9">
        <v>40949.0</v>
      </c>
    </row>
    <row r="646">
      <c r="A646" s="6" t="str">
        <f>HYPERLINK("https://archive.ph/o/kCXAs/https://web-beta.archive.org/web/20130315140312/http://clopfic.heroku.com/fics/789", "A Night in the Barn")</f>
        <v>A Night in the Barn</v>
      </c>
      <c r="D646" s="7" t="s">
        <v>37</v>
      </c>
      <c r="E646" s="7" t="s">
        <v>44</v>
      </c>
      <c r="H646" s="8" t="s">
        <v>692</v>
      </c>
      <c r="I646" s="6" t="str">
        <f>HYPERLINK("https://archive.ph/o/kCXAs/https://web-beta.archive.org/web/20130315140312/http://clopfic.heroku.com/authors/235", "Nostalgia Schmaltz")</f>
        <v>Nostalgia Schmaltz</v>
      </c>
      <c r="V646" s="7" t="s">
        <v>71</v>
      </c>
      <c r="Z646" s="7" t="s">
        <v>40</v>
      </c>
      <c r="AB646" s="7" t="s">
        <v>101</v>
      </c>
      <c r="AC646" s="7" t="s">
        <v>102</v>
      </c>
      <c r="AE646" s="7" t="s">
        <v>43</v>
      </c>
      <c r="AG646" s="9">
        <v>40948.0</v>
      </c>
      <c r="AH646" s="9">
        <v>40948.0</v>
      </c>
    </row>
    <row r="647">
      <c r="A647" s="6" t="str">
        <f>HYPERLINK("https://archive.ph/o/kCXAs/https://web-beta.archive.org/web/20130315140312/http://clopfic.heroku.com/fics/787", "Simple.")</f>
        <v>Simple.</v>
      </c>
      <c r="E647" s="7" t="s">
        <v>44</v>
      </c>
      <c r="H647" s="8" t="s">
        <v>693</v>
      </c>
      <c r="I647" s="6" t="str">
        <f>HYPERLINK("https://archive.ph/o/kCXAs/https://web-beta.archive.org/web/20130315140312/http://clopfic.heroku.com/authors/571", "Holla Jolla")</f>
        <v>Holla Jolla</v>
      </c>
      <c r="V647" s="7" t="s">
        <v>71</v>
      </c>
      <c r="Z647" s="7" t="s">
        <v>40</v>
      </c>
      <c r="AD647" s="7" t="s">
        <v>111</v>
      </c>
      <c r="AG647" s="9">
        <v>40947.0</v>
      </c>
      <c r="AH647" s="9">
        <v>40947.0</v>
      </c>
    </row>
    <row r="648">
      <c r="A648" s="6" t="str">
        <f>HYPERLINK("https://archive.ph/o/kCXAs/https://web-beta.archive.org/web/20130315140312/http://clopfic.heroku.com/fics/785", "Equestria Girls")</f>
        <v>Equestria Girls</v>
      </c>
      <c r="B648" s="7" t="s">
        <v>36</v>
      </c>
      <c r="D648" s="7" t="s">
        <v>37</v>
      </c>
      <c r="E648" s="7" t="s">
        <v>44</v>
      </c>
      <c r="H648" s="8" t="s">
        <v>694</v>
      </c>
      <c r="I648" s="6" t="str">
        <f>HYPERLINK("https://archive.ph/o/kCXAs/https://web-beta.archive.org/web/20130315140312/http://clopfic.heroku.com/authors/562", "WhatTheFap")</f>
        <v>WhatTheFap</v>
      </c>
      <c r="K648" s="7" t="s">
        <v>49</v>
      </c>
      <c r="N648" s="7" t="s">
        <v>47</v>
      </c>
      <c r="Z648" s="7" t="s">
        <v>40</v>
      </c>
      <c r="AA648" s="7" t="s">
        <v>113</v>
      </c>
      <c r="AE648" s="7" t="s">
        <v>43</v>
      </c>
      <c r="AG648" s="9">
        <v>40947.0</v>
      </c>
      <c r="AH648" s="9">
        <v>40947.0</v>
      </c>
    </row>
    <row r="649">
      <c r="A649" s="6" t="str">
        <f>HYPERLINK("https://archive.ph/o/kCXAs/https://web-beta.archive.org/web/20130315140312/http://clopfic.heroku.com/fics/784", "Simple")</f>
        <v>Simple</v>
      </c>
      <c r="H649" s="8" t="s">
        <v>695</v>
      </c>
      <c r="I649" s="6" t="str">
        <f>HYPERLINK("https://archive.ph/o/kCXAs/https://web-beta.archive.org/web/20130315140312/http://clopfic.heroku.com/authors/571", "Holla Jolla")</f>
        <v>Holla Jolla</v>
      </c>
      <c r="V649" s="7" t="s">
        <v>71</v>
      </c>
      <c r="Z649" s="7" t="s">
        <v>40</v>
      </c>
      <c r="AD649" s="7" t="s">
        <v>111</v>
      </c>
      <c r="AG649" s="9">
        <v>40947.0</v>
      </c>
      <c r="AH649" s="9">
        <v>40947.0</v>
      </c>
    </row>
    <row r="650">
      <c r="A650" s="6" t="str">
        <f>HYPERLINK("https://archive.ph/o/kCXAs/https://web-beta.archive.org/web/20130315140312/http://clopfic.heroku.com/fics/783", "Apple Sandwich")</f>
        <v>Apple Sandwich</v>
      </c>
      <c r="B650" s="7" t="s">
        <v>36</v>
      </c>
      <c r="D650" s="7" t="s">
        <v>37</v>
      </c>
      <c r="H650" s="8" t="s">
        <v>696</v>
      </c>
      <c r="I650" s="6" t="str">
        <f>HYPERLINK("https://archive.ph/o/kCXAs/https://web-beta.archive.org/web/20130315140312/http://clopfic.heroku.com/authors/356", "Metals")</f>
        <v>Metals</v>
      </c>
      <c r="L650" s="7" t="s">
        <v>62</v>
      </c>
      <c r="Z650" s="7" t="s">
        <v>40</v>
      </c>
      <c r="AF650" s="7" t="s">
        <v>41</v>
      </c>
      <c r="AG650" s="9">
        <v>40947.0</v>
      </c>
      <c r="AH650" s="9">
        <v>40947.0</v>
      </c>
    </row>
    <row r="651">
      <c r="A651" s="6" t="str">
        <f>HYPERLINK("https://archive.ph/o/kCXAs/https://web-beta.archive.org/web/20130315140312/http://clopfic.heroku.com/fics/765", "Shared Secrets")</f>
        <v>Shared Secrets</v>
      </c>
      <c r="D651" s="7" t="s">
        <v>37</v>
      </c>
      <c r="G651" s="7" t="s">
        <v>75</v>
      </c>
      <c r="H651" s="8" t="s">
        <v>697</v>
      </c>
      <c r="I651" s="6" t="str">
        <f>HYPERLINK("https://archive.ph/o/kCXAs/https://web-beta.archive.org/web/20130315140312/http://clopfic.heroku.com/authors/853", "knails")</f>
        <v>knails</v>
      </c>
      <c r="J651" s="7" t="s">
        <v>39</v>
      </c>
      <c r="M651" s="7" t="s">
        <v>56</v>
      </c>
      <c r="AG651" s="9">
        <v>40939.0</v>
      </c>
      <c r="AH651" s="9">
        <v>40946.0</v>
      </c>
    </row>
    <row r="652">
      <c r="A652" s="6" t="str">
        <f>HYPERLINK("https://archive.ph/o/kCXAs/https://web-beta.archive.org/web/20130315140312/http://clopfic.heroku.com/fics/780", "Actions Without Consequence")</f>
        <v>Actions Without Consequence</v>
      </c>
      <c r="B652" s="7" t="s">
        <v>36</v>
      </c>
      <c r="F652" s="7" t="s">
        <v>52</v>
      </c>
      <c r="H652" s="8" t="s">
        <v>698</v>
      </c>
      <c r="I652" s="6" t="str">
        <f>HYPERLINK("https://archive.ph/o/kCXAs/https://web-beta.archive.org/web/20130315140312/http://clopfic.heroku.com/authors/552", "Pony Bill")</f>
        <v>Pony Bill</v>
      </c>
      <c r="J652" s="7" t="s">
        <v>39</v>
      </c>
      <c r="R652" s="7" t="s">
        <v>66</v>
      </c>
      <c r="AG652" s="9">
        <v>40944.0</v>
      </c>
      <c r="AH652" s="9">
        <v>40944.0</v>
      </c>
    </row>
    <row r="653">
      <c r="A653" s="6" t="str">
        <f>HYPERLINK("https://archive.ph/o/kCXAs/https://web-beta.archive.org/web/20130315140312/http://clopfic.heroku.com/fics/779", "Perfection in Poise")</f>
        <v>Perfection in Poise</v>
      </c>
      <c r="C653" s="7" t="s">
        <v>54</v>
      </c>
      <c r="E653" s="7" t="s">
        <v>44</v>
      </c>
      <c r="H653" s="8" t="s">
        <v>699</v>
      </c>
      <c r="I653" s="6" t="str">
        <f>HYPERLINK("https://archive.ph/o/kCXAs/https://web-beta.archive.org/web/20130315140312/http://clopfic.heroku.com/authors/253", "TAW")</f>
        <v>TAW</v>
      </c>
      <c r="N653" s="7" t="s">
        <v>47</v>
      </c>
      <c r="AG653" s="9">
        <v>40943.0</v>
      </c>
      <c r="AH653" s="9">
        <v>40943.0</v>
      </c>
    </row>
    <row r="654">
      <c r="A654" s="6" t="str">
        <f>HYPERLINK("https://archive.ph/o/kCXAs/https://web-beta.archive.org/web/20130315140312/http://clopfic.heroku.com/fics/775", "Fun")</f>
        <v>Fun</v>
      </c>
      <c r="E654" s="7" t="s">
        <v>44</v>
      </c>
      <c r="H654" s="8" t="s">
        <v>700</v>
      </c>
      <c r="I654" s="6" t="str">
        <f>HYPERLINK("https://archive.ph/o/kCXAs/https://web-beta.archive.org/web/20130315140312/http://clopfic.heroku.com/authors/547", "BlackM")</f>
        <v>BlackM</v>
      </c>
      <c r="M654" s="7" t="s">
        <v>56</v>
      </c>
      <c r="V654" s="7" t="s">
        <v>71</v>
      </c>
      <c r="AG654" s="9">
        <v>40942.0</v>
      </c>
      <c r="AH654" s="9">
        <v>40942.0</v>
      </c>
    </row>
    <row r="655">
      <c r="A655" s="6" t="str">
        <f>HYPERLINK("https://archive.ph/o/kCXAs/https://web-beta.archive.org/web/20130315140312/http://clopfic.heroku.com/fics/773", "Price Gouging")</f>
        <v>Price Gouging</v>
      </c>
      <c r="H655" s="8" t="s">
        <v>701</v>
      </c>
      <c r="I655" s="6" t="str">
        <f>HYPERLINK("https://archive.ph/o/kCXAs/https://web-beta.archive.org/web/20130315140312/http://clopfic.heroku.com/authors/559", "CogsTheBrony")</f>
        <v>CogsTheBrony</v>
      </c>
      <c r="V655" s="7" t="s">
        <v>71</v>
      </c>
      <c r="Z655" s="7" t="s">
        <v>40</v>
      </c>
      <c r="AE655" s="7" t="s">
        <v>43</v>
      </c>
      <c r="AG655" s="9">
        <v>40942.0</v>
      </c>
      <c r="AH655" s="9">
        <v>40942.0</v>
      </c>
    </row>
    <row r="656">
      <c r="A656" s="6" t="str">
        <f>HYPERLINK("https://archive.ph/o/kCXAs/https://web-beta.archive.org/web/20130315140312/http://clopfic.heroku.com/fics/771", "Change of Heart")</f>
        <v>Change of Heart</v>
      </c>
      <c r="E656" s="7" t="s">
        <v>44</v>
      </c>
      <c r="G656" s="7" t="s">
        <v>75</v>
      </c>
      <c r="H656" s="8" t="s">
        <v>702</v>
      </c>
      <c r="I656" s="6" t="str">
        <f>HYPERLINK("https://archive.ph/o/kCXAs/https://web-beta.archive.org/web/20130315140312/http://clopfic.heroku.com/authors/76", "Fickle")</f>
        <v>Fickle</v>
      </c>
      <c r="M656" s="7" t="s">
        <v>56</v>
      </c>
      <c r="Z656" s="7" t="s">
        <v>40</v>
      </c>
      <c r="AF656" s="7" t="s">
        <v>41</v>
      </c>
      <c r="AG656" s="9">
        <v>40941.0</v>
      </c>
      <c r="AH656" s="9">
        <v>40941.0</v>
      </c>
    </row>
    <row r="657">
      <c r="A657" s="6" t="str">
        <f>HYPERLINK("https://archive.ph/o/kCXAs/https://web-beta.archive.org/web/20130315140312/http://clopfic.heroku.com/fics/769", "Forty Bits")</f>
        <v>Forty Bits</v>
      </c>
      <c r="D657" s="7" t="s">
        <v>37</v>
      </c>
      <c r="E657" s="7" t="s">
        <v>44</v>
      </c>
      <c r="H657" s="8" t="s">
        <v>703</v>
      </c>
      <c r="I657" s="6" t="str">
        <f>HYPERLINK("https://archive.ph/o/kCXAs/https://web-beta.archive.org/web/20130315140312/http://clopfic.heroku.com/authors/81", "Co/smonaut petro/v/")</f>
        <v>Co/smonaut petro/v/</v>
      </c>
      <c r="J657" s="7" t="s">
        <v>39</v>
      </c>
      <c r="M657" s="7" t="s">
        <v>56</v>
      </c>
      <c r="AG657" s="9">
        <v>40940.0</v>
      </c>
      <c r="AH657" s="9">
        <v>40940.0</v>
      </c>
    </row>
    <row r="658">
      <c r="A658" s="6" t="str">
        <f>HYPERLINK("https://archive.ph/o/kCXAs/https://web-beta.archive.org/web/20130315140312/http://clopfic.heroku.com/fics/768", "Satin Belle")</f>
        <v>Satin Belle</v>
      </c>
      <c r="H658" s="8" t="s">
        <v>704</v>
      </c>
      <c r="I658" s="6" t="str">
        <f>HYPERLINK("https://archive.ph/o/kCXAs/https://web-beta.archive.org/web/20130315140312/http://clopfic.heroku.com/fics", "/fics")</f>
        <v>/fics</v>
      </c>
      <c r="N658" s="7" t="s">
        <v>47</v>
      </c>
      <c r="V658" s="7" t="s">
        <v>71</v>
      </c>
      <c r="AG658" s="9">
        <v>40940.0</v>
      </c>
      <c r="AH658" s="9">
        <v>40940.0</v>
      </c>
    </row>
    <row r="659">
      <c r="A659" s="6" t="str">
        <f>HYPERLINK("https://archive.ph/o/kCXAs/https://web-beta.archive.org/web/20130315140312/http://clopfic.heroku.com/fics/763", "Flight School Revelations ")</f>
        <v>Flight School Revelations </v>
      </c>
      <c r="E659" s="7" t="s">
        <v>44</v>
      </c>
      <c r="G659" s="7" t="s">
        <v>75</v>
      </c>
      <c r="H659" s="8" t="s">
        <v>705</v>
      </c>
      <c r="I659" s="6" t="str">
        <f>HYPERLINK("https://archive.ph/o/kCXAs/https://web-beta.archive.org/web/20130315140312/http://clopfic.heroku.com/authors/560", "EzeFilly")</f>
        <v>EzeFilly</v>
      </c>
      <c r="M659" s="7" t="s">
        <v>56</v>
      </c>
      <c r="Y659" s="7" t="s">
        <v>184</v>
      </c>
      <c r="AG659" s="9">
        <v>40938.0</v>
      </c>
      <c r="AH659" s="9">
        <v>40938.0</v>
      </c>
    </row>
    <row r="660">
      <c r="A660" s="6" t="str">
        <f>HYPERLINK("https://archive.ph/o/kCXAs/https://web-beta.archive.org/web/20130315140312/http://clopfic.heroku.com/fics/761", "A Night to Remember")</f>
        <v>A Night to Remember</v>
      </c>
      <c r="E660" s="7" t="s">
        <v>44</v>
      </c>
      <c r="H660" s="8" t="s">
        <v>706</v>
      </c>
      <c r="I660" s="6" t="str">
        <f>HYPERLINK("https://archive.ph/o/kCXAs/https://web-beta.archive.org/web/20130315140312/http://clopfic.heroku.com/authors/355", "Liquid Rainbows")</f>
        <v>Liquid Rainbows</v>
      </c>
      <c r="Z660" s="7" t="s">
        <v>40</v>
      </c>
      <c r="AE660" s="7" t="s">
        <v>43</v>
      </c>
      <c r="AF660" s="7" t="s">
        <v>41</v>
      </c>
      <c r="AG660" s="9">
        <v>40937.0</v>
      </c>
      <c r="AH660" s="9">
        <v>40937.0</v>
      </c>
    </row>
    <row r="661">
      <c r="A661" s="6" t="str">
        <f>HYPERLINK("https://archive.ph/o/kCXAs/https://web-beta.archive.org/web/20130315140312/http://clopfic.heroku.com/fics/759", "It's All Fun and Confessions")</f>
        <v>It's All Fun and Confessions</v>
      </c>
      <c r="E661" s="7" t="s">
        <v>44</v>
      </c>
      <c r="H661" s="8" t="s">
        <v>707</v>
      </c>
      <c r="I661" s="6" t="str">
        <f>HYPERLINK("https://archive.ph/o/kCXAs/https://web-beta.archive.org/web/20130315140312/http://clopfic.heroku.com/fics", "/fics")</f>
        <v>/fics</v>
      </c>
      <c r="J661" s="7" t="s">
        <v>39</v>
      </c>
      <c r="Z661" s="7" t="s">
        <v>40</v>
      </c>
      <c r="AF661" s="7" t="s">
        <v>41</v>
      </c>
      <c r="AG661" s="9">
        <v>40936.0</v>
      </c>
      <c r="AH661" s="9">
        <v>40936.0</v>
      </c>
    </row>
    <row r="662">
      <c r="A662" s="6" t="str">
        <f>HYPERLINK("https://archive.ph/o/kCXAs/https://web-beta.archive.org/web/20130315140312/http://clopfic.heroku.com/fics/758", "The Orgy of Nightmare Night")</f>
        <v>The Orgy of Nightmare Night</v>
      </c>
      <c r="D662" s="7" t="s">
        <v>37</v>
      </c>
      <c r="E662" s="7" t="s">
        <v>44</v>
      </c>
      <c r="H662" s="8" t="s">
        <v>708</v>
      </c>
      <c r="I662" s="6" t="str">
        <f>HYPERLINK("https://archive.ph/o/kCXAs/https://web-beta.archive.org/web/20130315140312/http://clopfic.heroku.com/authors/562", "WhatTheFap")</f>
        <v>WhatTheFap</v>
      </c>
      <c r="Q662" s="7" t="s">
        <v>65</v>
      </c>
      <c r="W662" s="7" t="s">
        <v>69</v>
      </c>
      <c r="Z662" s="7" t="s">
        <v>40</v>
      </c>
      <c r="AA662" s="7" t="s">
        <v>113</v>
      </c>
      <c r="AE662" s="7" t="s">
        <v>43</v>
      </c>
      <c r="AG662" s="9">
        <v>40935.0</v>
      </c>
      <c r="AH662" s="9">
        <v>40935.0</v>
      </c>
    </row>
    <row r="663">
      <c r="A663" s="6" t="str">
        <f>HYPERLINK("https://archive.ph/o/kCXAs/https://web-beta.archive.org/web/20130315140312/http://clopfic.heroku.com/fics/757", "Barnyard Bargains")</f>
        <v>Barnyard Bargains</v>
      </c>
      <c r="E663" s="7" t="s">
        <v>44</v>
      </c>
      <c r="H663" s="8" t="s">
        <v>709</v>
      </c>
      <c r="I663" s="6" t="str">
        <f>HYPERLINK("https://archive.ph/o/kCXAs/https://web-beta.archive.org/web/20130315140312/http://clopfic.heroku.com/authors/601", "meep288")</f>
        <v>meep288</v>
      </c>
      <c r="V663" s="7" t="s">
        <v>71</v>
      </c>
      <c r="Z663" s="7" t="s">
        <v>40</v>
      </c>
      <c r="AE663" s="7" t="s">
        <v>43</v>
      </c>
      <c r="AG663" s="9">
        <v>40935.0</v>
      </c>
      <c r="AH663" s="9">
        <v>40935.0</v>
      </c>
    </row>
    <row r="664">
      <c r="A664" s="6" t="str">
        <f>HYPERLINK("https://archive.ph/o/kCXAs/https://web-beta.archive.org/web/20130315140312/http://clopfic.heroku.com/fics/753", "Cutie Mark Crusaders Forever")</f>
        <v>Cutie Mark Crusaders Forever</v>
      </c>
      <c r="D664" s="7" t="s">
        <v>37</v>
      </c>
      <c r="E664" s="7" t="s">
        <v>44</v>
      </c>
      <c r="F664" s="7" t="s">
        <v>52</v>
      </c>
      <c r="H664" s="8" t="s">
        <v>710</v>
      </c>
      <c r="I664" s="6" t="str">
        <f>HYPERLINK("https://archive.ph/o/kCXAs/https://web-beta.archive.org/web/20130315140312/http://clopfic.heroku.com/authors/564", "Azamonra")</f>
        <v>Azamonra</v>
      </c>
      <c r="J664" s="7" t="s">
        <v>39</v>
      </c>
      <c r="K664" s="7" t="s">
        <v>49</v>
      </c>
      <c r="N664" s="7" t="s">
        <v>47</v>
      </c>
      <c r="S664" s="7" t="s">
        <v>68</v>
      </c>
      <c r="T664" s="7" t="s">
        <v>59</v>
      </c>
      <c r="U664" s="7" t="s">
        <v>60</v>
      </c>
      <c r="Z664" s="7" t="s">
        <v>40</v>
      </c>
      <c r="AF664" s="7" t="s">
        <v>41</v>
      </c>
      <c r="AG664" s="9">
        <v>40933.0</v>
      </c>
      <c r="AH664" s="9">
        <v>40933.0</v>
      </c>
    </row>
    <row r="665">
      <c r="A665" s="6" t="str">
        <f>HYPERLINK("https://archive.ph/o/kCXAs/https://web-beta.archive.org/web/20130315140312/http://clopfic.heroku.com/fics/752", "Improper Punishment")</f>
        <v>Improper Punishment</v>
      </c>
      <c r="B665" s="7" t="s">
        <v>36</v>
      </c>
      <c r="D665" s="7" t="s">
        <v>37</v>
      </c>
      <c r="H665" s="8" t="s">
        <v>711</v>
      </c>
      <c r="I665" s="6" t="str">
        <f>HYPERLINK("https://archive.ph/o/kCXAs/https://web-beta.archive.org/web/20130315140312/http://clopfic.heroku.com/authors/68", "DarkJester")</f>
        <v>DarkJester</v>
      </c>
      <c r="L665" s="7" t="s">
        <v>62</v>
      </c>
      <c r="M665" s="7" t="s">
        <v>56</v>
      </c>
      <c r="S665" s="7" t="s">
        <v>68</v>
      </c>
      <c r="AG665" s="9">
        <v>40932.0</v>
      </c>
      <c r="AH665" s="9">
        <v>40932.0</v>
      </c>
    </row>
    <row r="666">
      <c r="A666" s="6" t="str">
        <f>HYPERLINK("https://archive.ph/o/kCXAs/https://web-beta.archive.org/web/20130315140312/http://clopfic.heroku.com/fics/751", "A heart of gold")</f>
        <v>A heart of gold</v>
      </c>
      <c r="H666" s="8" t="s">
        <v>712</v>
      </c>
      <c r="I666" s="6" t="str">
        <f>HYPERLINK("https://archive.ph/o/kCXAs/https://web-beta.archive.org/web/20130315140312/http://clopfic.heroku.com/authors/253", "TAW")</f>
        <v>TAW</v>
      </c>
      <c r="M666" s="7" t="s">
        <v>56</v>
      </c>
      <c r="Z666" s="7" t="s">
        <v>40</v>
      </c>
      <c r="AA666" s="7" t="s">
        <v>113</v>
      </c>
      <c r="AG666" s="9">
        <v>40932.0</v>
      </c>
      <c r="AH666" s="9">
        <v>40932.0</v>
      </c>
    </row>
    <row r="667">
      <c r="A667" s="6" t="str">
        <f>HYPERLINK("https://archive.ph/o/kCXAs/https://web-beta.archive.org/web/20130315140312/http://clopfic.heroku.com/fics/749", "Midnight Rendezvous")</f>
        <v>Midnight Rendezvous</v>
      </c>
      <c r="C667" s="7" t="s">
        <v>54</v>
      </c>
      <c r="E667" s="7" t="s">
        <v>44</v>
      </c>
      <c r="H667" s="8" t="s">
        <v>713</v>
      </c>
      <c r="I667" s="6" t="str">
        <f>HYPERLINK("https://archive.ph/o/kCXAs/https://web-beta.archive.org/web/20130315140312/http://clopfic.heroku.com/authors/565", "paxtofettel")</f>
        <v>paxtofettel</v>
      </c>
      <c r="J667" s="7" t="s">
        <v>39</v>
      </c>
      <c r="V667" s="7" t="s">
        <v>71</v>
      </c>
      <c r="AG667" s="9">
        <v>40932.0</v>
      </c>
      <c r="AH667" s="9">
        <v>40932.0</v>
      </c>
    </row>
    <row r="668">
      <c r="A668" s="6" t="str">
        <f>HYPERLINK("https://archive.ph/o/kCXAs/https://web-beta.archive.org/web/20130315140312/http://clopfic.heroku.com/fics/748", "After Party")</f>
        <v>After Party</v>
      </c>
      <c r="E668" s="7" t="s">
        <v>44</v>
      </c>
      <c r="H668" s="8" t="s">
        <v>714</v>
      </c>
      <c r="I668" s="6" t="str">
        <f>HYPERLINK("https://archive.ph/o/kCXAs/https://web-beta.archive.org/web/20130315140312/http://clopfic.heroku.com/authors/355", "Liquid Rainbows")</f>
        <v>Liquid Rainbows</v>
      </c>
      <c r="M668" s="7" t="s">
        <v>56</v>
      </c>
      <c r="Z668" s="7" t="s">
        <v>40</v>
      </c>
      <c r="AE668" s="7" t="s">
        <v>43</v>
      </c>
      <c r="AG668" s="9">
        <v>40931.0</v>
      </c>
      <c r="AH668" s="9">
        <v>40931.0</v>
      </c>
    </row>
    <row r="669">
      <c r="A669" s="6" t="str">
        <f>HYPERLINK("https://archive.ph/o/kCXAs/https://web-beta.archive.org/web/20130315140312/http://clopfic.heroku.com/fics/746", "An Apples love like no other")</f>
        <v>An Apples love like no other</v>
      </c>
      <c r="E669" s="7" t="s">
        <v>44</v>
      </c>
      <c r="H669" s="8" t="s">
        <v>715</v>
      </c>
      <c r="I669" s="6" t="str">
        <f>HYPERLINK("https://archive.ph/o/kCXAs/https://web-beta.archive.org/web/20130315140312/http://clopfic.heroku.com/authors/546", "Rainbowdashyy")</f>
        <v>Rainbowdashyy</v>
      </c>
      <c r="L669" s="7" t="s">
        <v>62</v>
      </c>
      <c r="N669" s="7" t="s">
        <v>47</v>
      </c>
      <c r="Z669" s="7" t="s">
        <v>40</v>
      </c>
      <c r="AD669" s="7" t="s">
        <v>111</v>
      </c>
      <c r="AE669" s="7" t="s">
        <v>43</v>
      </c>
      <c r="AG669" s="9">
        <v>40931.0</v>
      </c>
      <c r="AH669" s="9">
        <v>40931.0</v>
      </c>
    </row>
    <row r="670">
      <c r="A670" s="6" t="str">
        <f>HYPERLINK("https://archive.ph/o/kCXAs/https://web-beta.archive.org/web/20130315140312/http://clopfic.heroku.com/fics/745", "CLOPPY PASTA")</f>
        <v>CLOPPY PASTA</v>
      </c>
      <c r="B670" s="7" t="s">
        <v>36</v>
      </c>
      <c r="D670" s="7" t="s">
        <v>37</v>
      </c>
      <c r="H670" s="8" t="s">
        <v>716</v>
      </c>
      <c r="I670" s="6" t="str">
        <f>HYPERLINK("https://archive.ph/o/kCXAs/https://web-beta.archive.org/web/20130315140312/http://clopfic.heroku.com/authors/594", "Not Proud")</f>
        <v>Not Proud</v>
      </c>
      <c r="J670" s="7" t="s">
        <v>39</v>
      </c>
      <c r="K670" s="7" t="s">
        <v>49</v>
      </c>
      <c r="L670" s="7" t="s">
        <v>62</v>
      </c>
      <c r="M670" s="7" t="s">
        <v>56</v>
      </c>
      <c r="N670" s="7" t="s">
        <v>47</v>
      </c>
      <c r="O670" s="7" t="s">
        <v>51</v>
      </c>
      <c r="P670" s="7" t="s">
        <v>64</v>
      </c>
      <c r="R670" s="7" t="s">
        <v>66</v>
      </c>
      <c r="AG670" s="9">
        <v>40930.0</v>
      </c>
      <c r="AH670" s="9">
        <v>40930.0</v>
      </c>
    </row>
    <row r="671">
      <c r="A671" s="6" t="str">
        <f>HYPERLINK("https://archive.ph/o/kCXAs/https://web-beta.archive.org/web/20130315140312/http://clopfic.heroku.com/fics/744", "More Than Friends")</f>
        <v>More Than Friends</v>
      </c>
      <c r="H671" s="8" t="s">
        <v>717</v>
      </c>
      <c r="I671" s="6" t="str">
        <f>HYPERLINK("https://archive.ph/o/kCXAs/https://web-beta.archive.org/web/20130315140312/http://clopfic.heroku.com/authors/567", "Ruxen")</f>
        <v>Ruxen</v>
      </c>
      <c r="Z671" s="7" t="s">
        <v>40</v>
      </c>
      <c r="AE671" s="7" t="s">
        <v>43</v>
      </c>
      <c r="AG671" s="9">
        <v>40929.0</v>
      </c>
      <c r="AH671" s="9">
        <v>40929.0</v>
      </c>
    </row>
    <row r="672">
      <c r="A672" s="6" t="str">
        <f>HYPERLINK("https://archive.ph/o/kCXAs/https://web-beta.archive.org/web/20130315140312/http://clopfic.heroku.com/fics/743", "Berry Punch and the Fabulous Wine Trick")</f>
        <v>Berry Punch and the Fabulous Wine Trick</v>
      </c>
      <c r="D672" s="7" t="s">
        <v>37</v>
      </c>
      <c r="H672" s="8" t="s">
        <v>718</v>
      </c>
      <c r="I672" s="6" t="str">
        <f>HYPERLINK("https://archive.ph/o/kCXAs/https://web-beta.archive.org/web/20130315140312/http://clopfic.heroku.com/authors/356", "Metals")</f>
        <v>Metals</v>
      </c>
      <c r="Z672" s="7" t="s">
        <v>40</v>
      </c>
      <c r="AE672" s="7" t="s">
        <v>43</v>
      </c>
      <c r="AG672" s="9">
        <v>40929.0</v>
      </c>
      <c r="AH672" s="9">
        <v>40929.0</v>
      </c>
    </row>
    <row r="673">
      <c r="A673" s="6" t="str">
        <f>HYPERLINK("https://archive.ph/o/kCXAs/https://web-beta.archive.org/web/20130315140312/http://clopfic.heroku.com/fics/742", "Nursing an Illness with Twilight")</f>
        <v>Nursing an Illness with Twilight</v>
      </c>
      <c r="C673" s="7" t="s">
        <v>54</v>
      </c>
      <c r="E673" s="7" t="s">
        <v>44</v>
      </c>
      <c r="H673" s="8" t="s">
        <v>719</v>
      </c>
      <c r="I673" s="6" t="str">
        <f>HYPERLINK("https://archive.ph/o/kCXAs/https://web-beta.archive.org/web/20130315140312/http://clopfic.heroku.com/authors/280", "BDNFatlus")</f>
        <v>BDNFatlus</v>
      </c>
      <c r="J673" s="7" t="s">
        <v>39</v>
      </c>
      <c r="Z673" s="7" t="s">
        <v>40</v>
      </c>
      <c r="AF673" s="7" t="s">
        <v>41</v>
      </c>
      <c r="AG673" s="9">
        <v>40929.0</v>
      </c>
      <c r="AH673" s="9">
        <v>40929.0</v>
      </c>
    </row>
    <row r="674">
      <c r="A674" s="6" t="str">
        <f>HYPERLINK("https://archive.ph/o/kCXAs/https://web-beta.archive.org/web/20130315140312/http://clopfic.heroku.com/fics/739", "Making Amends")</f>
        <v>Making Amends</v>
      </c>
      <c r="C674" s="7" t="s">
        <v>54</v>
      </c>
      <c r="E674" s="7" t="s">
        <v>44</v>
      </c>
      <c r="G674" s="7" t="s">
        <v>75</v>
      </c>
      <c r="H674" s="8" t="s">
        <v>720</v>
      </c>
      <c r="I674" s="6" t="str">
        <f>HYPERLINK("https://archive.ph/o/kCXAs/https://web-beta.archive.org/web/20130315140312/http://clopfic.heroku.com/authors/238", "NK_6060")</f>
        <v>NK_6060</v>
      </c>
      <c r="Z674" s="7" t="s">
        <v>40</v>
      </c>
      <c r="AE674" s="7" t="s">
        <v>43</v>
      </c>
      <c r="AG674" s="9">
        <v>40929.0</v>
      </c>
      <c r="AH674" s="9">
        <v>40929.0</v>
      </c>
    </row>
    <row r="675">
      <c r="A675" s="6" t="str">
        <f>HYPERLINK("https://archive.ph/o/kCXAs/https://web-beta.archive.org/web/20130315140312/http://clopfic.heroku.com/fics/738", "Breakfast ")</f>
        <v>Breakfast </v>
      </c>
      <c r="C675" s="7" t="s">
        <v>54</v>
      </c>
      <c r="D675" s="7" t="s">
        <v>37</v>
      </c>
      <c r="H675" s="8" t="s">
        <v>721</v>
      </c>
      <c r="I675" s="6" t="str">
        <f>HYPERLINK("https://archive.ph/o/kCXAs/https://web-beta.archive.org/web/20130315140312/http://clopfic.heroku.com/authors/1", "RagingSemi")</f>
        <v>RagingSemi</v>
      </c>
      <c r="Z675" s="7" t="s">
        <v>40</v>
      </c>
      <c r="AF675" s="7" t="s">
        <v>41</v>
      </c>
      <c r="AG675" s="9">
        <v>40929.0</v>
      </c>
      <c r="AH675" s="9">
        <v>40929.0</v>
      </c>
    </row>
    <row r="676">
      <c r="A676" s="6" t="str">
        <f>HYPERLINK("https://archive.ph/o/kCXAs/https://web-beta.archive.org/web/20130315140312/http://clopfic.heroku.com/fics/737", "Hearts' Warming Eve")</f>
        <v>Hearts' Warming Eve</v>
      </c>
      <c r="C676" s="7" t="s">
        <v>54</v>
      </c>
      <c r="E676" s="7" t="s">
        <v>44</v>
      </c>
      <c r="H676" s="8" t="s">
        <v>722</v>
      </c>
      <c r="I676" s="6" t="str">
        <f>HYPERLINK("https://archive.ph/o/kCXAs/https://web-beta.archive.org/web/20130315140312/http://clopfic.heroku.com/authors/463", "RedSavant")</f>
        <v>RedSavant</v>
      </c>
      <c r="O676" s="7" t="s">
        <v>51</v>
      </c>
      <c r="V676" s="7" t="s">
        <v>71</v>
      </c>
      <c r="Y676" s="7" t="s">
        <v>184</v>
      </c>
      <c r="Z676" s="7" t="s">
        <v>40</v>
      </c>
      <c r="AA676" s="7" t="s">
        <v>113</v>
      </c>
      <c r="AG676" s="9">
        <v>40928.0</v>
      </c>
      <c r="AH676" s="9">
        <v>40928.0</v>
      </c>
    </row>
    <row r="677">
      <c r="A677" s="6" t="str">
        <f>HYPERLINK("https://archive.ph/o/kCXAs/https://web-beta.archive.org/web/20130315140312/http://clopfic.heroku.com/fics/735", "Her radiant dawn")</f>
        <v>Her radiant dawn</v>
      </c>
      <c r="C677" s="7" t="s">
        <v>54</v>
      </c>
      <c r="E677" s="7" t="s">
        <v>44</v>
      </c>
      <c r="H677" s="8" t="s">
        <v>723</v>
      </c>
      <c r="I677" s="6" t="str">
        <f>HYPERLINK("https://archive.ph/o/kCXAs/https://web-beta.archive.org/web/20130315140312/http://clopfic.heroku.com/authors/253", "TAW")</f>
        <v>TAW</v>
      </c>
      <c r="P677" s="7" t="s">
        <v>64</v>
      </c>
      <c r="AG677" s="9">
        <v>40927.0</v>
      </c>
      <c r="AH677" s="9">
        <v>40927.0</v>
      </c>
    </row>
    <row r="678">
      <c r="A678" s="6" t="str">
        <f>HYPERLINK("https://archive.ph/o/kCXAs/https://web-beta.archive.org/web/20130315140312/http://clopfic.heroku.com/fics/734", "Moon Phased")</f>
        <v>Moon Phased</v>
      </c>
      <c r="E678" s="7" t="s">
        <v>44</v>
      </c>
      <c r="H678" s="8" t="s">
        <v>724</v>
      </c>
      <c r="I678" s="6" t="str">
        <f>HYPERLINK("https://archive.ph/o/kCXAs/https://web-beta.archive.org/web/20130315140312/http://clopfic.heroku.com/authors/569", "SilentAuthor")</f>
        <v>SilentAuthor</v>
      </c>
      <c r="Q678" s="7" t="s">
        <v>65</v>
      </c>
      <c r="Z678" s="7" t="s">
        <v>40</v>
      </c>
      <c r="AF678" s="7" t="s">
        <v>41</v>
      </c>
      <c r="AG678" s="9">
        <v>40927.0</v>
      </c>
      <c r="AH678" s="9">
        <v>40927.0</v>
      </c>
    </row>
    <row r="679">
      <c r="A679" s="6" t="str">
        <f>HYPERLINK("https://archive.ph/o/kCXAs/https://web-beta.archive.org/web/20130315140312/http://clopfic.heroku.com/fics/733", "A Well-Deserved Break - The Really Steamy Part")</f>
        <v>A Well-Deserved Break - The Really Steamy Part</v>
      </c>
      <c r="E679" s="7" t="s">
        <v>44</v>
      </c>
      <c r="H679" s="8" t="s">
        <v>725</v>
      </c>
      <c r="I679" s="6" t="str">
        <f>HYPERLINK("https://archive.ph/o/kCXAs/https://web-beta.archive.org/web/20130315140312/http://clopfic.heroku.com/authors/570", "TimeBomb0")</f>
        <v>TimeBomb0</v>
      </c>
      <c r="J679" s="7" t="s">
        <v>39</v>
      </c>
      <c r="Z679" s="7" t="s">
        <v>40</v>
      </c>
      <c r="AF679" s="7" t="s">
        <v>41</v>
      </c>
      <c r="AG679" s="9">
        <v>40927.0</v>
      </c>
      <c r="AH679" s="9">
        <v>40927.0</v>
      </c>
    </row>
    <row r="680">
      <c r="A680" s="6" t="str">
        <f>HYPERLINK("https://archive.ph/o/kCXAs/https://web-beta.archive.org/web/20130315140312/http://clopfic.heroku.com/fics/731", "Intensive Care")</f>
        <v>Intensive Care</v>
      </c>
      <c r="E680" s="7" t="s">
        <v>44</v>
      </c>
      <c r="H680" s="8" t="s">
        <v>726</v>
      </c>
      <c r="I680" s="6" t="str">
        <f>HYPERLINK("https://archive.ph/o/kCXAs/https://web-beta.archive.org/web/20130315140312/http://clopfic.heroku.com/authors/355", "Liquid Rainbows")</f>
        <v>Liquid Rainbows</v>
      </c>
      <c r="Z680" s="7" t="s">
        <v>40</v>
      </c>
      <c r="AE680" s="7" t="s">
        <v>43</v>
      </c>
      <c r="AF680" s="7" t="s">
        <v>41</v>
      </c>
      <c r="AG680" s="9">
        <v>40926.0</v>
      </c>
      <c r="AH680" s="9">
        <v>40926.0</v>
      </c>
    </row>
    <row r="681">
      <c r="A681" s="6" t="str">
        <f>HYPERLINK("https://archive.ph/o/kCXAs/https://web-beta.archive.org/web/20130315140312/http://clopfic.heroku.com/fics/729", "For the love of apples")</f>
        <v>For the love of apples</v>
      </c>
      <c r="C681" s="7" t="s">
        <v>54</v>
      </c>
      <c r="E681" s="7" t="s">
        <v>44</v>
      </c>
      <c r="H681" s="8" t="s">
        <v>727</v>
      </c>
      <c r="I681" s="6" t="str">
        <f>HYPERLINK("https://archive.ph/o/kCXAs/https://web-beta.archive.org/web/20130315140312/http://clopfic.heroku.com/authors/198", "Theorangefox")</f>
        <v>Theorangefox</v>
      </c>
      <c r="L681" s="7" t="s">
        <v>62</v>
      </c>
      <c r="V681" s="7" t="s">
        <v>71</v>
      </c>
      <c r="AG681" s="9">
        <v>40924.0</v>
      </c>
      <c r="AH681" s="9">
        <v>40924.0</v>
      </c>
    </row>
    <row r="682">
      <c r="A682" s="6" t="str">
        <f>HYPERLINK("https://archive.ph/o/kCXAs/https://web-beta.archive.org/web/20130315140312/http://clopfic.heroku.com/fics/728", "Collar")</f>
        <v>Collar</v>
      </c>
      <c r="D682" s="7" t="s">
        <v>37</v>
      </c>
      <c r="E682" s="7" t="s">
        <v>44</v>
      </c>
      <c r="H682" s="8" t="s">
        <v>728</v>
      </c>
      <c r="I682" s="6" t="str">
        <f>HYPERLINK("https://archive.ph/o/kCXAs/https://web-beta.archive.org/web/20130315140312/http://clopfic.heroku.com/authors/571", "Holla Jolla")</f>
        <v>Holla Jolla</v>
      </c>
      <c r="M682" s="7" t="s">
        <v>56</v>
      </c>
      <c r="O682" s="7" t="s">
        <v>51</v>
      </c>
      <c r="AG682" s="9">
        <v>40924.0</v>
      </c>
      <c r="AH682" s="9">
        <v>40924.0</v>
      </c>
    </row>
    <row r="683">
      <c r="A683" s="6" t="str">
        <f>HYPERLINK("https://archive.ph/o/kCXAs/https://web-beta.archive.org/web/20130315140312/http://clopfic.heroku.com/fics/727", "An unwanted surprise")</f>
        <v>An unwanted surprise</v>
      </c>
      <c r="E683" s="7" t="s">
        <v>44</v>
      </c>
      <c r="H683" s="8" t="s">
        <v>729</v>
      </c>
      <c r="I683" s="6" t="str">
        <f>HYPERLINK("https://archive.ph/o/kCXAs/https://web-beta.archive.org/web/20130315140312/http://clopfic.heroku.com/authors/546", "Rainbowdashyy")</f>
        <v>Rainbowdashyy</v>
      </c>
      <c r="J683" s="7" t="s">
        <v>39</v>
      </c>
      <c r="K683" s="7" t="s">
        <v>49</v>
      </c>
      <c r="L683" s="7" t="s">
        <v>62</v>
      </c>
      <c r="M683" s="7" t="s">
        <v>56</v>
      </c>
      <c r="N683" s="7" t="s">
        <v>47</v>
      </c>
      <c r="Z683" s="7" t="s">
        <v>40</v>
      </c>
      <c r="AD683" s="7" t="s">
        <v>111</v>
      </c>
      <c r="AG683" s="9">
        <v>40924.0</v>
      </c>
      <c r="AH683" s="9">
        <v>40924.0</v>
      </c>
    </row>
    <row r="684">
      <c r="A684" s="6" t="str">
        <f>HYPERLINK("https://archive.ph/o/kCXAs/https://web-beta.archive.org/web/20130315140312/http://clopfic.heroku.com/fics/726", "Under the Moonlight")</f>
        <v>Under the Moonlight</v>
      </c>
      <c r="E684" s="7" t="s">
        <v>44</v>
      </c>
      <c r="H684" s="8" t="s">
        <v>730</v>
      </c>
      <c r="I684" s="6" t="str">
        <f>HYPERLINK("https://archive.ph/o/kCXAs/https://web-beta.archive.org/web/20130315140312/http://clopfic.heroku.com/authors/355", "Liquid Rainbows")</f>
        <v>Liquid Rainbows</v>
      </c>
      <c r="P684" s="7" t="s">
        <v>64</v>
      </c>
      <c r="Q684" s="7" t="s">
        <v>65</v>
      </c>
      <c r="Z684" s="7" t="s">
        <v>40</v>
      </c>
      <c r="AF684" s="7" t="s">
        <v>41</v>
      </c>
      <c r="AG684" s="9">
        <v>40924.0</v>
      </c>
      <c r="AH684" s="9">
        <v>40924.0</v>
      </c>
    </row>
    <row r="685">
      <c r="A685" s="6" t="str">
        <f>HYPERLINK("https://archive.ph/o/kCXAs/https://web-beta.archive.org/web/20130315140312/http://clopfic.heroku.com/fics/725", "You Will Never Share an Intimate Moment with Pinkie Pie")</f>
        <v>You Will Never Share an Intimate Moment with Pinkie Pie</v>
      </c>
      <c r="C685" s="7" t="s">
        <v>54</v>
      </c>
      <c r="D685" s="7" t="s">
        <v>37</v>
      </c>
      <c r="H685" s="8" t="s">
        <v>731</v>
      </c>
      <c r="I685" s="6" t="str">
        <f>HYPERLINK("https://archive.ph/o/kCXAs/https://web-beta.archive.org/web/20130315140312/http://clopfic.heroku.com/authors/584", "Cloperella")</f>
        <v>Cloperella</v>
      </c>
      <c r="K685" s="7" t="s">
        <v>49</v>
      </c>
      <c r="AG685" s="9">
        <v>40924.0</v>
      </c>
      <c r="AH685" s="9">
        <v>40924.0</v>
      </c>
    </row>
    <row r="686">
      <c r="A686" s="6" t="str">
        <f>HYPERLINK("https://archive.ph/o/kCXAs/https://web-beta.archive.org/web/20130315140312/http://clopfic.heroku.com/fics/724", "Restless")</f>
        <v>Restless</v>
      </c>
      <c r="C686" s="7" t="s">
        <v>54</v>
      </c>
      <c r="H686" s="8" t="s">
        <v>732</v>
      </c>
      <c r="I686" s="6" t="str">
        <f>HYPERLINK("https://archive.ph/o/kCXAs/https://web-beta.archive.org/web/20130315140312/http://clopfic.heroku.com/authors/108", "Pacce")</f>
        <v>Pacce</v>
      </c>
      <c r="Z686" s="7" t="s">
        <v>40</v>
      </c>
      <c r="AA686" s="7" t="s">
        <v>113</v>
      </c>
      <c r="AE686" s="7" t="s">
        <v>43</v>
      </c>
      <c r="AG686" s="9">
        <v>40923.0</v>
      </c>
      <c r="AH686" s="9">
        <v>40923.0</v>
      </c>
    </row>
    <row r="687">
      <c r="A687" s="6" t="str">
        <f>HYPERLINK("https://archive.ph/o/kCXAs/https://web-beta.archive.org/web/20130315140312/http://clopfic.heroku.com/fics/723", "Welcome to Friendship Country")</f>
        <v>Welcome to Friendship Country</v>
      </c>
      <c r="C687" s="7" t="s">
        <v>54</v>
      </c>
      <c r="H687" s="8" t="s">
        <v>733</v>
      </c>
      <c r="I687" s="6" t="str">
        <f>HYPERLINK("https://archive.ph/o/kCXAs/https://web-beta.archive.org/web/20130315140312/http://clopfic.heroku.com/authors/572", "Friendly Uncle")</f>
        <v>Friendly Uncle</v>
      </c>
      <c r="K687" s="7" t="s">
        <v>49</v>
      </c>
      <c r="AG687" s="9">
        <v>40923.0</v>
      </c>
      <c r="AH687" s="9">
        <v>40923.0</v>
      </c>
    </row>
    <row r="688">
      <c r="A688" s="6" t="str">
        <f>HYPERLINK("https://archive.ph/o/kCXAs/https://web-beta.archive.org/web/20130315140312/http://clopfic.heroku.com/fics/722", "A Dash of Pink")</f>
        <v>A Dash of Pink</v>
      </c>
      <c r="D688" s="7" t="s">
        <v>37</v>
      </c>
      <c r="E688" s="7" t="s">
        <v>44</v>
      </c>
      <c r="H688" s="8" t="s">
        <v>734</v>
      </c>
      <c r="I688" s="6" t="str">
        <f>HYPERLINK("https://archive.ph/o/kCXAs/https://web-beta.archive.org/web/20130315140312/http://clopfic.heroku.com/authors/355", "Liquid Rainbows")</f>
        <v>Liquid Rainbows</v>
      </c>
      <c r="K688" s="7" t="s">
        <v>49</v>
      </c>
      <c r="M688" s="7" t="s">
        <v>56</v>
      </c>
      <c r="AG688" s="9">
        <v>40923.0</v>
      </c>
      <c r="AH688" s="9">
        <v>40923.0</v>
      </c>
    </row>
    <row r="689">
      <c r="A689" s="6" t="str">
        <f>HYPERLINK("https://archive.ph/o/kCXAs/https://web-beta.archive.org/web/20130315140312/http://clopfic.heroku.com/fics/719", "Bigger")</f>
        <v>Bigger</v>
      </c>
      <c r="B689" s="7" t="s">
        <v>36</v>
      </c>
      <c r="D689" s="7" t="s">
        <v>37</v>
      </c>
      <c r="F689" s="7" t="s">
        <v>52</v>
      </c>
      <c r="H689" s="8" t="s">
        <v>735</v>
      </c>
      <c r="I689" s="6" t="str">
        <f>HYPERLINK("https://archive.ph/o/kCXAs/https://web-beta.archive.org/web/20130315140312/http://clopfic.heroku.com/authors/573", "Macro Filly")</f>
        <v>Macro Filly</v>
      </c>
      <c r="J689" s="7" t="s">
        <v>39</v>
      </c>
      <c r="O689" s="7" t="s">
        <v>51</v>
      </c>
      <c r="T689" s="7" t="s">
        <v>59</v>
      </c>
      <c r="X689" s="7" t="s">
        <v>107</v>
      </c>
      <c r="AG689" s="9">
        <v>40922.0</v>
      </c>
      <c r="AH689" s="9">
        <v>40922.0</v>
      </c>
    </row>
    <row r="690">
      <c r="A690" s="6" t="str">
        <f>HYPERLINK("https://archive.ph/o/kCXAs/https://web-beta.archive.org/web/20130315140312/http://clopfic.heroku.com/fics/718", "3 Short Stories")</f>
        <v>3 Short Stories</v>
      </c>
      <c r="B690" s="7" t="s">
        <v>36</v>
      </c>
      <c r="D690" s="7" t="s">
        <v>37</v>
      </c>
      <c r="H690" s="8" t="s">
        <v>736</v>
      </c>
      <c r="I690" s="6" t="str">
        <f>HYPERLINK("https://archive.ph/o/kCXAs/https://web-beta.archive.org/web/20130315140312/http://clopfic.heroku.com/authors/600", "BrutalAssMaster's Friend")</f>
        <v>BrutalAssMaster's Friend</v>
      </c>
      <c r="J690" s="7" t="s">
        <v>39</v>
      </c>
      <c r="K690" s="7" t="s">
        <v>49</v>
      </c>
      <c r="L690" s="7" t="s">
        <v>62</v>
      </c>
      <c r="M690" s="7" t="s">
        <v>56</v>
      </c>
      <c r="N690" s="7" t="s">
        <v>47</v>
      </c>
      <c r="O690" s="7" t="s">
        <v>51</v>
      </c>
      <c r="R690" s="7" t="s">
        <v>66</v>
      </c>
      <c r="S690" s="7" t="s">
        <v>68</v>
      </c>
      <c r="V690" s="7" t="s">
        <v>71</v>
      </c>
      <c r="Z690" s="7" t="s">
        <v>40</v>
      </c>
      <c r="AE690" s="7" t="s">
        <v>43</v>
      </c>
      <c r="AG690" s="9">
        <v>40922.0</v>
      </c>
      <c r="AH690" s="9">
        <v>40922.0</v>
      </c>
    </row>
    <row r="691">
      <c r="A691" s="6" t="str">
        <f>HYPERLINK("https://archive.ph/o/kCXAs/https://web-beta.archive.org/web/20130315140312/http://clopfic.heroku.com/fics/463", "Corporal Punishment")</f>
        <v>Corporal Punishment</v>
      </c>
      <c r="D691" s="7" t="s">
        <v>37</v>
      </c>
      <c r="E691" s="7" t="s">
        <v>44</v>
      </c>
      <c r="H691" s="8" t="s">
        <v>737</v>
      </c>
      <c r="I691" s="6" t="str">
        <f>HYPERLINK("https://archive.ph/o/kCXAs/https://web-beta.archive.org/web/20130315140312/http://clopfic.heroku.com/authors/574", "RatherHomely")</f>
        <v>RatherHomely</v>
      </c>
      <c r="J691" s="7" t="s">
        <v>39</v>
      </c>
      <c r="R691" s="7" t="s">
        <v>66</v>
      </c>
      <c r="AG691" s="9">
        <v>40791.0</v>
      </c>
      <c r="AH691" s="9">
        <v>40922.0</v>
      </c>
    </row>
    <row r="692">
      <c r="A692" s="6" t="str">
        <f>HYPERLINK("https://archive.ph/o/kCXAs/https://web-beta.archive.org/web/20130315140312/http://clopfic.heroku.com/fics/717", "Rainbow Dash: The Urine Connoisseur")</f>
        <v>Rainbow Dash: The Urine Connoisseur</v>
      </c>
      <c r="D692" s="7" t="s">
        <v>37</v>
      </c>
      <c r="F692" s="7" t="s">
        <v>52</v>
      </c>
      <c r="H692" s="8" t="s">
        <v>738</v>
      </c>
      <c r="I692" s="6" t="str">
        <f>HYPERLINK("https://archive.ph/o/kCXAs/https://web-beta.archive.org/web/20130315140312/http://clopfic.heroku.com/authors/237", "HighLevelTeen")</f>
        <v>HighLevelTeen</v>
      </c>
      <c r="M692" s="7" t="s">
        <v>56</v>
      </c>
      <c r="O692" s="7" t="s">
        <v>51</v>
      </c>
      <c r="AG692" s="9">
        <v>40922.0</v>
      </c>
      <c r="AH692" s="9">
        <v>40922.0</v>
      </c>
    </row>
    <row r="693">
      <c r="A693" s="6" t="str">
        <f>HYPERLINK("https://archive.ph/o/kCXAs/https://web-beta.archive.org/web/20130315140312/http://clopfic.heroku.com/fics/715", "A Royal Encounter")</f>
        <v>A Royal Encounter</v>
      </c>
      <c r="H693" s="8" t="s">
        <v>739</v>
      </c>
      <c r="I693" s="6" t="str">
        <f>HYPERLINK("https://archive.ph/o/kCXAs/https://web-beta.archive.org/web/20130315140312/http://clopfic.heroku.com/authors/567", "Ruxen")</f>
        <v>Ruxen</v>
      </c>
      <c r="J693" s="7" t="s">
        <v>39</v>
      </c>
      <c r="O693" s="7" t="s">
        <v>51</v>
      </c>
      <c r="P693" s="7" t="s">
        <v>64</v>
      </c>
      <c r="AG693" s="9">
        <v>40921.0</v>
      </c>
      <c r="AH693" s="9">
        <v>40921.0</v>
      </c>
    </row>
    <row r="694">
      <c r="A694" s="6" t="str">
        <f>HYPERLINK("https://archive.ph/o/kCXAs/https://web-beta.archive.org/web/20130315140312/http://clopfic.heroku.com/fics/704", "Regrowth")</f>
        <v>Regrowth</v>
      </c>
      <c r="C694" s="7" t="s">
        <v>54</v>
      </c>
      <c r="E694" s="7" t="s">
        <v>44</v>
      </c>
      <c r="H694" s="8" t="s">
        <v>740</v>
      </c>
      <c r="I694" s="6" t="str">
        <f>HYPERLINK("https://archive.ph/o/kCXAs/https://web-beta.archive.org/web/20130315140312/http://clopfic.heroku.com/authors/1", "RagingSemi")</f>
        <v>RagingSemi</v>
      </c>
      <c r="L694" s="7" t="s">
        <v>62</v>
      </c>
      <c r="AG694" s="9">
        <v>40917.0</v>
      </c>
      <c r="AH694" s="9">
        <v>40921.0</v>
      </c>
    </row>
    <row r="695">
      <c r="A695" s="6" t="str">
        <f>HYPERLINK("https://archive.ph/o/kCXAs/https://web-beta.archive.org/web/20130315140312/http://clopfic.heroku.com/fics/713", "Plucked From The Sky")</f>
        <v>Plucked From The Sky</v>
      </c>
      <c r="E695" s="7" t="s">
        <v>44</v>
      </c>
      <c r="H695" s="8" t="s">
        <v>741</v>
      </c>
      <c r="I695" s="6" t="str">
        <f>HYPERLINK("https://archive.ph/o/kCXAs/https://web-beta.archive.org/web/20130315140312/http://clopfic.heroku.com/authors/158", "Norm De Plume")</f>
        <v>Norm De Plume</v>
      </c>
      <c r="Z695" s="7" t="s">
        <v>40</v>
      </c>
      <c r="AB695" s="7" t="s">
        <v>101</v>
      </c>
      <c r="AC695" s="7" t="s">
        <v>102</v>
      </c>
      <c r="AE695" s="7" t="s">
        <v>43</v>
      </c>
      <c r="AG695" s="9">
        <v>40919.0</v>
      </c>
      <c r="AH695" s="9">
        <v>40919.0</v>
      </c>
    </row>
    <row r="696">
      <c r="A696" s="6" t="str">
        <f>HYPERLINK("https://archive.ph/o/kCXAs/https://web-beta.archive.org/web/20130315140312/http://clopfic.heroku.com/fics/712", "The Price of Rejection ")</f>
        <v>The Price of Rejection </v>
      </c>
      <c r="E696" s="7" t="s">
        <v>44</v>
      </c>
      <c r="H696" s="8" t="s">
        <v>742</v>
      </c>
      <c r="I696" s="6" t="str">
        <f>HYPERLINK("https://archive.ph/o/kCXAs/https://web-beta.archive.org/web/20130315140312/http://clopfic.heroku.com/authors/355", "Liquid Rainbows")</f>
        <v>Liquid Rainbows</v>
      </c>
      <c r="N696" s="7" t="s">
        <v>47</v>
      </c>
      <c r="R696" s="7" t="s">
        <v>66</v>
      </c>
      <c r="U696" s="7" t="s">
        <v>60</v>
      </c>
      <c r="AG696" s="9">
        <v>40918.0</v>
      </c>
      <c r="AH696" s="9">
        <v>40918.0</v>
      </c>
    </row>
    <row r="697">
      <c r="A697" s="6" t="str">
        <f>HYPERLINK("https://archive.ph/o/kCXAs/https://web-beta.archive.org/web/20130315140312/http://clopfic.heroku.com/fics/707", "So what do you think of my story?")</f>
        <v>So what do you think of my story?</v>
      </c>
      <c r="E697" s="7" t="s">
        <v>44</v>
      </c>
      <c r="H697" s="8" t="s">
        <v>743</v>
      </c>
      <c r="I697" s="6" t="str">
        <f>HYPERLINK("https://archive.ph/o/kCXAs/https://web-beta.archive.org/web/20130315140312/http://clopfic.heroku.com/authors/180", "Anonymous")</f>
        <v>Anonymous</v>
      </c>
      <c r="J697" s="7" t="s">
        <v>39</v>
      </c>
      <c r="K697" s="7" t="s">
        <v>49</v>
      </c>
      <c r="L697" s="7" t="s">
        <v>62</v>
      </c>
      <c r="M697" s="7" t="s">
        <v>56</v>
      </c>
      <c r="AG697" s="9">
        <v>40917.0</v>
      </c>
      <c r="AH697" s="9">
        <v>40917.0</v>
      </c>
    </row>
    <row r="698">
      <c r="A698" s="6" t="str">
        <f>HYPERLINK("https://archive.ph/o/kCXAs/https://web-beta.archive.org/web/20130315140312/http://clopfic.heroku.com/fics/706", "Photo Shoot")</f>
        <v>Photo Shoot</v>
      </c>
      <c r="E698" s="7" t="s">
        <v>44</v>
      </c>
      <c r="H698" s="8" t="s">
        <v>744</v>
      </c>
      <c r="I698" s="6" t="str">
        <f>HYPERLINK("https://archive.ph/o/kCXAs/https://web-beta.archive.org/web/20130315140312/http://clopfic.heroku.com/authors/567", "Ruxen")</f>
        <v>Ruxen</v>
      </c>
      <c r="Z698" s="7" t="s">
        <v>40</v>
      </c>
      <c r="AE698" s="7" t="s">
        <v>43</v>
      </c>
      <c r="AG698" s="9">
        <v>40917.0</v>
      </c>
      <c r="AH698" s="9">
        <v>40917.0</v>
      </c>
    </row>
    <row r="699">
      <c r="A699" s="6" t="str">
        <f>HYPERLINK("https://archive.ph/o/kCXAs/https://web-beta.archive.org/web/20130315140312/http://clopfic.heroku.com/fics/705", "Just Hangin' Around")</f>
        <v>Just Hangin' Around</v>
      </c>
      <c r="E699" s="7" t="s">
        <v>44</v>
      </c>
      <c r="H699" s="8" t="s">
        <v>745</v>
      </c>
      <c r="I699" s="6" t="str">
        <f>HYPERLINK("https://archive.ph/o/kCXAs/https://web-beta.archive.org/web/20130315140312/http://clopfic.heroku.com/authors/550", "Butterscotch Cream")</f>
        <v>Butterscotch Cream</v>
      </c>
      <c r="Z699" s="7" t="s">
        <v>40</v>
      </c>
      <c r="AF699" s="7" t="s">
        <v>41</v>
      </c>
      <c r="AG699" s="9">
        <v>40917.0</v>
      </c>
      <c r="AH699" s="9">
        <v>40917.0</v>
      </c>
    </row>
    <row r="700">
      <c r="A700" s="6" t="str">
        <f>HYPERLINK("https://archive.ph/o/kCXAs/https://web-beta.archive.org/web/20130315140312/http://clopfic.heroku.com/fics/703", "Appledrunk")</f>
        <v>Appledrunk</v>
      </c>
      <c r="C700" s="7" t="s">
        <v>54</v>
      </c>
      <c r="D700" s="7" t="s">
        <v>37</v>
      </c>
      <c r="E700" s="7" t="s">
        <v>44</v>
      </c>
      <c r="H700" s="8" t="s">
        <v>746</v>
      </c>
      <c r="I700" s="6" t="str">
        <f>HYPERLINK("https://archive.ph/o/kCXAs/https://web-beta.archive.org/web/20130315140312/http://clopfic.heroku.com/authors/356", "Metals")</f>
        <v>Metals</v>
      </c>
      <c r="J700" s="7" t="s">
        <v>39</v>
      </c>
      <c r="K700" s="7" t="s">
        <v>49</v>
      </c>
      <c r="L700" s="7" t="s">
        <v>62</v>
      </c>
      <c r="O700" s="7" t="s">
        <v>51</v>
      </c>
      <c r="V700" s="7" t="s">
        <v>71</v>
      </c>
      <c r="Z700" s="7" t="s">
        <v>40</v>
      </c>
      <c r="AE700" s="7" t="s">
        <v>43</v>
      </c>
      <c r="AF700" s="7" t="s">
        <v>41</v>
      </c>
      <c r="AG700" s="9">
        <v>40917.0</v>
      </c>
      <c r="AH700" s="9">
        <v>40917.0</v>
      </c>
    </row>
    <row r="701">
      <c r="A701" s="6" t="str">
        <f>HYPERLINK("https://archive.ph/o/kCXAs/https://web-beta.archive.org/web/20130315140312/http://clopfic.heroku.com/fics/702", "A sad, But necessary agreement")</f>
        <v>A sad, But necessary agreement</v>
      </c>
      <c r="E701" s="7" t="s">
        <v>44</v>
      </c>
      <c r="H701" s="8" t="s">
        <v>747</v>
      </c>
      <c r="I701" s="6" t="str">
        <f>HYPERLINK("https://archive.ph/o/kCXAs/https://web-beta.archive.org/web/20130315140312/http://clopfic.heroku.com/authors/546", "Rainbowdashyy")</f>
        <v>Rainbowdashyy</v>
      </c>
      <c r="J701" s="7" t="s">
        <v>39</v>
      </c>
      <c r="M701" s="7" t="s">
        <v>56</v>
      </c>
      <c r="N701" s="7" t="s">
        <v>47</v>
      </c>
      <c r="R701" s="7" t="s">
        <v>66</v>
      </c>
      <c r="Z701" s="7" t="s">
        <v>40</v>
      </c>
      <c r="AD701" s="7" t="s">
        <v>111</v>
      </c>
      <c r="AG701" s="9">
        <v>40917.0</v>
      </c>
      <c r="AH701" s="9">
        <v>40917.0</v>
      </c>
    </row>
    <row r="702">
      <c r="A702" s="6" t="str">
        <f>HYPERLINK("https://archive.ph/o/kCXAs/https://web-beta.archive.org/web/20130315140312/http://clopfic.heroku.com/fics/701", "Sugar Baby")</f>
        <v>Sugar Baby</v>
      </c>
      <c r="C702" s="7" t="s">
        <v>54</v>
      </c>
      <c r="H702" s="8" t="s">
        <v>748</v>
      </c>
      <c r="I702" s="6" t="str">
        <f>HYPERLINK("https://archive.ph/o/kCXAs/https://web-beta.archive.org/web/20130315140312/http://clopfic.heroku.com/authors/576", "fillycolt")</f>
        <v>fillycolt</v>
      </c>
      <c r="K702" s="7" t="s">
        <v>49</v>
      </c>
      <c r="AG702" s="9">
        <v>40917.0</v>
      </c>
      <c r="AH702" s="9">
        <v>40917.0</v>
      </c>
    </row>
    <row r="703">
      <c r="A703" s="6" t="str">
        <f>HYPERLINK("https://archive.ph/o/kCXAs/https://web-beta.archive.org/web/20130315140312/http://clopfic.heroku.com/fics/700", "Pony Pee")</f>
        <v>Pony Pee</v>
      </c>
      <c r="D703" s="7" t="s">
        <v>37</v>
      </c>
      <c r="H703" s="8" t="s">
        <v>749</v>
      </c>
      <c r="I703" s="6" t="str">
        <f>HYPERLINK("https://archive.ph/o/kCXAs/https://web-beta.archive.org/web/20130315140312/http://clopfic.heroku.com/authors/237", "HighLevelTeen")</f>
        <v>HighLevelTeen</v>
      </c>
      <c r="J703" s="7" t="s">
        <v>39</v>
      </c>
      <c r="K703" s="7" t="s">
        <v>49</v>
      </c>
      <c r="L703" s="7" t="s">
        <v>62</v>
      </c>
      <c r="M703" s="7" t="s">
        <v>56</v>
      </c>
      <c r="O703" s="7" t="s">
        <v>51</v>
      </c>
      <c r="AG703" s="9">
        <v>40916.0</v>
      </c>
      <c r="AH703" s="9">
        <v>40916.0</v>
      </c>
    </row>
    <row r="704">
      <c r="A704" s="6" t="str">
        <f>HYPERLINK("https://archive.ph/o/kCXAs/https://web-beta.archive.org/web/20130315140312/http://clopfic.heroku.com/fics/699", "Confession of a fashionista")</f>
        <v>Confession of a fashionista</v>
      </c>
      <c r="E704" s="7" t="s">
        <v>44</v>
      </c>
      <c r="H704" s="8" t="s">
        <v>750</v>
      </c>
      <c r="I704" s="6" t="str">
        <f>HYPERLINK("https://archive.ph/o/kCXAs/https://web-beta.archive.org/web/20130315140312/http://clopfic.heroku.com/authors/546", "Rainbowdashyy")</f>
        <v>Rainbowdashyy</v>
      </c>
      <c r="J704" s="7" t="s">
        <v>39</v>
      </c>
      <c r="N704" s="7" t="s">
        <v>47</v>
      </c>
      <c r="R704" s="7" t="s">
        <v>66</v>
      </c>
      <c r="AG704" s="9">
        <v>40916.0</v>
      </c>
      <c r="AH704" s="9">
        <v>40916.0</v>
      </c>
    </row>
    <row r="705">
      <c r="A705" s="6" t="str">
        <f>HYPERLINK("https://archive.ph/o/kCXAs/https://web-beta.archive.org/web/20130315140312/http://clopfic.heroku.com/fics/698", "Fluttering Hearts")</f>
        <v>Fluttering Hearts</v>
      </c>
      <c r="C705" s="7" t="s">
        <v>54</v>
      </c>
      <c r="E705" s="7" t="s">
        <v>44</v>
      </c>
      <c r="H705" s="8" t="s">
        <v>751</v>
      </c>
      <c r="I705" s="6" t="str">
        <f>HYPERLINK("https://archive.ph/o/kCXAs/https://web-beta.archive.org/web/20130315140312/http://clopfic.heroku.com/authors/253", "TAW")</f>
        <v>TAW</v>
      </c>
      <c r="O705" s="7" t="s">
        <v>51</v>
      </c>
      <c r="AG705" s="9">
        <v>40916.0</v>
      </c>
      <c r="AH705" s="9">
        <v>40916.0</v>
      </c>
    </row>
    <row r="706">
      <c r="A706" s="6" t="str">
        <f>HYPERLINK("https://archive.ph/o/kCXAs/https://web-beta.archive.org/web/20130315140312/http://clopfic.heroku.com/fics/695", "Twilight's Sleepover")</f>
        <v>Twilight's Sleepover</v>
      </c>
      <c r="E706" s="7" t="s">
        <v>44</v>
      </c>
      <c r="H706" s="8" t="s">
        <v>752</v>
      </c>
      <c r="I706" s="6" t="str">
        <f>HYPERLINK("https://archive.ph/o/kCXAs/https://web-beta.archive.org/web/20130315140312/http://clopfic.heroku.com/authors/546", "Rainbowdashyy")</f>
        <v>Rainbowdashyy</v>
      </c>
      <c r="J706" s="7" t="s">
        <v>39</v>
      </c>
      <c r="M706" s="7" t="s">
        <v>56</v>
      </c>
      <c r="N706" s="7" t="s">
        <v>47</v>
      </c>
      <c r="O706" s="7" t="s">
        <v>51</v>
      </c>
      <c r="AG706" s="9">
        <v>40915.0</v>
      </c>
      <c r="AH706" s="9">
        <v>40915.0</v>
      </c>
    </row>
    <row r="707">
      <c r="A707" s="6" t="str">
        <f>HYPERLINK("https://archive.ph/o/kCXAs/https://web-beta.archive.org/web/20130315140312/http://clopfic.heroku.com/fics/694", "Sensual Sundae")</f>
        <v>Sensual Sundae</v>
      </c>
      <c r="H707" s="8" t="s">
        <v>753</v>
      </c>
      <c r="I707" s="6" t="str">
        <f t="shared" ref="I707:I708" si="24">HYPERLINK("https://archive.ph/o/kCXAs/https://web-beta.archive.org/web/20130315140312/http://clopfic.heroku.com/authors/567", "Ruxen")</f>
        <v>Ruxen</v>
      </c>
      <c r="Z707" s="7" t="s">
        <v>40</v>
      </c>
      <c r="AE707" s="7" t="s">
        <v>43</v>
      </c>
      <c r="AG707" s="9">
        <v>40915.0</v>
      </c>
      <c r="AH707" s="9">
        <v>40915.0</v>
      </c>
    </row>
    <row r="708">
      <c r="A708" s="6" t="str">
        <f>HYPERLINK("https://archive.ph/o/kCXAs/https://web-beta.archive.org/web/20130315140312/http://clopfic.heroku.com/fics/693", "To Protect And 'Serve'")</f>
        <v>To Protect And 'Serve'</v>
      </c>
      <c r="H708" s="8" t="s">
        <v>754</v>
      </c>
      <c r="I708" s="6" t="str">
        <f t="shared" si="24"/>
        <v>Ruxen</v>
      </c>
      <c r="Z708" s="7" t="s">
        <v>40</v>
      </c>
      <c r="AE708" s="7" t="s">
        <v>43</v>
      </c>
      <c r="AG708" s="9">
        <v>40915.0</v>
      </c>
      <c r="AH708" s="9">
        <v>40915.0</v>
      </c>
    </row>
    <row r="709">
      <c r="A709" s="6" t="str">
        <f>HYPERLINK("https://archive.ph/o/kCXAs/https://web-beta.archive.org/web/20130315140312/http://clopfic.heroku.com/fics/692", "Alcohol, Lights and Bass")</f>
        <v>Alcohol, Lights and Bass</v>
      </c>
      <c r="C709" s="7" t="s">
        <v>54</v>
      </c>
      <c r="H709" s="8" t="s">
        <v>755</v>
      </c>
      <c r="I709" s="6" t="str">
        <f>HYPERLINK("https://archive.ph/o/kCXAs/https://web-beta.archive.org/web/20130315140312/http://clopfic.heroku.com/authors/577", "craigerzF")</f>
        <v>craigerzF</v>
      </c>
      <c r="Z709" s="7" t="s">
        <v>40</v>
      </c>
      <c r="AE709" s="7" t="s">
        <v>43</v>
      </c>
      <c r="AF709" s="7" t="s">
        <v>41</v>
      </c>
      <c r="AG709" s="9">
        <v>40915.0</v>
      </c>
      <c r="AH709" s="9">
        <v>40915.0</v>
      </c>
    </row>
    <row r="710">
      <c r="A710" s="6" t="str">
        <f>HYPERLINK("https://archive.ph/o/kCXAs/https://web-beta.archive.org/web/20130315140312/http://clopfic.heroku.com/fics/691", "Hearth's Warming Indeed")</f>
        <v>Hearth's Warming Indeed</v>
      </c>
      <c r="H710" s="8" t="s">
        <v>756</v>
      </c>
      <c r="I710" s="6" t="str">
        <f>HYPERLINK("https://archive.ph/o/kCXAs/https://web-beta.archive.org/web/20130315140312/http://clopfic.heroku.com/authors/746", "Flutterwhy4")</f>
        <v>Flutterwhy4</v>
      </c>
      <c r="J710" s="7" t="s">
        <v>39</v>
      </c>
      <c r="L710" s="7" t="s">
        <v>62</v>
      </c>
      <c r="O710" s="7" t="s">
        <v>51</v>
      </c>
      <c r="AG710" s="9">
        <v>40915.0</v>
      </c>
      <c r="AH710" s="9">
        <v>40915.0</v>
      </c>
    </row>
    <row r="711">
      <c r="A711" s="6" t="str">
        <f>HYPERLINK("https://archive.ph/o/kCXAs/https://web-beta.archive.org/web/20130315140312/http://clopfic.heroku.com/fics/688", "Chapter 37")</f>
        <v>Chapter 37</v>
      </c>
      <c r="C711" s="7" t="s">
        <v>54</v>
      </c>
      <c r="D711" s="7" t="s">
        <v>37</v>
      </c>
      <c r="H711" s="8" t="s">
        <v>757</v>
      </c>
      <c r="I711" s="6" t="str">
        <f>HYPERLINK("https://archive.ph/o/kCXAs/https://web-beta.archive.org/web/20130315140312/http://clopfic.heroku.com/authors/148", "AppleloosanPsychiatrist")</f>
        <v>AppleloosanPsychiatrist</v>
      </c>
      <c r="P711" s="7" t="s">
        <v>64</v>
      </c>
      <c r="U711" s="7" t="s">
        <v>60</v>
      </c>
      <c r="Z711" s="7" t="s">
        <v>40</v>
      </c>
      <c r="AF711" s="7" t="s">
        <v>41</v>
      </c>
      <c r="AG711" s="9">
        <v>40914.0</v>
      </c>
      <c r="AH711" s="9">
        <v>40914.0</v>
      </c>
    </row>
    <row r="712">
      <c r="A712" s="6" t="str">
        <f>HYPERLINK("https://archive.ph/o/kCXAs/https://web-beta.archive.org/web/20130315140312/http://clopfic.heroku.com/fics/687", "Bucking Season")</f>
        <v>Bucking Season</v>
      </c>
      <c r="C712" s="7" t="s">
        <v>54</v>
      </c>
      <c r="H712" s="8" t="s">
        <v>758</v>
      </c>
      <c r="I712" s="6" t="str">
        <f>HYPERLINK("https://archive.ph/o/kCXAs/https://web-beta.archive.org/web/20130315140312/http://clopfic.heroku.com/authors/577", "craigerzF")</f>
        <v>craigerzF</v>
      </c>
      <c r="V712" s="7" t="s">
        <v>71</v>
      </c>
      <c r="Z712" s="7" t="s">
        <v>40</v>
      </c>
      <c r="AF712" s="7" t="s">
        <v>41</v>
      </c>
      <c r="AG712" s="9">
        <v>40914.0</v>
      </c>
      <c r="AH712" s="9">
        <v>40914.0</v>
      </c>
    </row>
    <row r="713">
      <c r="A713" s="6" t="str">
        <f>HYPERLINK("https://archive.ph/o/kCXAs/https://web-beta.archive.org/web/20130315140312/http://clopfic.heroku.com/fics/686", "Fanboy")</f>
        <v>Fanboy</v>
      </c>
      <c r="H713" s="8" t="s">
        <v>759</v>
      </c>
      <c r="I713" s="6" t="str">
        <f>HYPERLINK("https://archive.ph/o/kCXAs/https://web-beta.archive.org/web/20130315140312/http://clopfic.heroku.com/authors/567", "Ruxen")</f>
        <v>Ruxen</v>
      </c>
      <c r="M713" s="7" t="s">
        <v>56</v>
      </c>
      <c r="T713" s="7" t="s">
        <v>59</v>
      </c>
      <c r="AG713" s="9">
        <v>40913.0</v>
      </c>
      <c r="AH713" s="9">
        <v>40913.0</v>
      </c>
    </row>
    <row r="714">
      <c r="A714" s="6" t="str">
        <f>HYPERLINK("https://archive.ph/o/kCXAs/https://web-beta.archive.org/web/20130315140312/http://clopfic.heroku.com/fics/685", "Un-Suited for Success ")</f>
        <v>Un-Suited for Success </v>
      </c>
      <c r="C714" s="7" t="s">
        <v>54</v>
      </c>
      <c r="E714" s="7" t="s">
        <v>44</v>
      </c>
      <c r="H714" s="8" t="s">
        <v>760</v>
      </c>
      <c r="I714" s="6" t="str">
        <f t="shared" ref="I714:I715" si="25">HYPERLINK("https://archive.ph/o/kCXAs/https://web-beta.archive.org/web/20130315140312/http://clopfic.heroku.com/authors/577", "craigerzF")</f>
        <v>craigerzF</v>
      </c>
      <c r="N714" s="7" t="s">
        <v>47</v>
      </c>
      <c r="Z714" s="7" t="s">
        <v>40</v>
      </c>
      <c r="AF714" s="7" t="s">
        <v>41</v>
      </c>
      <c r="AG714" s="9">
        <v>40913.0</v>
      </c>
      <c r="AH714" s="9">
        <v>40913.0</v>
      </c>
    </row>
    <row r="715">
      <c r="A715" s="6" t="str">
        <f>HYPERLINK("https://archive.ph/o/kCXAs/https://web-beta.archive.org/web/20130315140312/http://clopfic.heroku.com/fics/684", "Super sugary sweet")</f>
        <v>Super sugary sweet</v>
      </c>
      <c r="C715" s="7" t="s">
        <v>54</v>
      </c>
      <c r="H715" s="8" t="s">
        <v>761</v>
      </c>
      <c r="I715" s="6" t="str">
        <f t="shared" si="25"/>
        <v>craigerzF</v>
      </c>
      <c r="K715" s="7" t="s">
        <v>49</v>
      </c>
      <c r="Z715" s="7" t="s">
        <v>40</v>
      </c>
      <c r="AF715" s="7" t="s">
        <v>41</v>
      </c>
      <c r="AG715" s="9">
        <v>40912.0</v>
      </c>
      <c r="AH715" s="9">
        <v>40912.0</v>
      </c>
    </row>
    <row r="716">
      <c r="A716" s="6" t="str">
        <f>HYPERLINK("https://archive.ph/o/kCXAs/https://web-beta.archive.org/web/20130315140312/http://clopfic.heroku.com/fics/683", "Meet and Greet")</f>
        <v>Meet and Greet</v>
      </c>
      <c r="C716" s="7" t="s">
        <v>54</v>
      </c>
      <c r="G716" s="7" t="s">
        <v>75</v>
      </c>
      <c r="H716" s="8" t="s">
        <v>762</v>
      </c>
      <c r="I716" s="6" t="str">
        <f>HYPERLINK("https://archive.ph/o/kCXAs/https://web-beta.archive.org/web/20130315140312/http://clopfic.heroku.com/authors/238", "NK_6060")</f>
        <v>NK_6060</v>
      </c>
      <c r="Z716" s="7" t="s">
        <v>40</v>
      </c>
      <c r="AE716" s="7" t="s">
        <v>43</v>
      </c>
      <c r="AG716" s="9">
        <v>40912.0</v>
      </c>
      <c r="AH716" s="9">
        <v>40912.0</v>
      </c>
    </row>
    <row r="717">
      <c r="A717" s="6" t="str">
        <f>HYPERLINK("https://archive.ph/o/kCXAs/https://web-beta.archive.org/web/20130315140312/http://clopfic.heroku.com/fics/682", "The private show")</f>
        <v>The private show</v>
      </c>
      <c r="C717" s="7" t="s">
        <v>54</v>
      </c>
      <c r="D717" s="7" t="s">
        <v>37</v>
      </c>
      <c r="H717" s="8" t="s">
        <v>763</v>
      </c>
      <c r="I717" s="6" t="str">
        <f t="shared" ref="I717:I718" si="26">HYPERLINK("https://archive.ph/o/kCXAs/https://web-beta.archive.org/web/20130315140312/http://clopfic.heroku.com/authors/577", "craigerzF")</f>
        <v>craigerzF</v>
      </c>
      <c r="W717" s="7" t="s">
        <v>69</v>
      </c>
      <c r="Z717" s="7" t="s">
        <v>40</v>
      </c>
      <c r="AF717" s="7" t="s">
        <v>41</v>
      </c>
      <c r="AG717" s="9">
        <v>40912.0</v>
      </c>
      <c r="AH717" s="9">
        <v>40912.0</v>
      </c>
    </row>
    <row r="718">
      <c r="A718" s="6" t="str">
        <f>HYPERLINK("https://archive.ph/o/kCXAs/https://web-beta.archive.org/web/20130315140312/http://clopfic.heroku.com/fics/681", "The Great and Powerful Mistress")</f>
        <v>The Great and Powerful Mistress</v>
      </c>
      <c r="C718" s="7" t="s">
        <v>54</v>
      </c>
      <c r="D718" s="7" t="s">
        <v>37</v>
      </c>
      <c r="H718" s="8" t="s">
        <v>764</v>
      </c>
      <c r="I718" s="6" t="str">
        <f t="shared" si="26"/>
        <v>craigerzF</v>
      </c>
      <c r="W718" s="7" t="s">
        <v>69</v>
      </c>
      <c r="Z718" s="7" t="s">
        <v>40</v>
      </c>
      <c r="AF718" s="7" t="s">
        <v>41</v>
      </c>
      <c r="AG718" s="9">
        <v>40912.0</v>
      </c>
      <c r="AH718" s="9">
        <v>40912.0</v>
      </c>
    </row>
    <row r="719">
      <c r="A719" s="6" t="str">
        <f>HYPERLINK("https://archive.ph/o/kCXAs/https://web-beta.archive.org/web/20130315140312/http://clopfic.heroku.com/fics/678", "Dominant Species")</f>
        <v>Dominant Species</v>
      </c>
      <c r="H719" s="8" t="s">
        <v>765</v>
      </c>
      <c r="I719" s="6" t="str">
        <f>HYPERLINK("https://archive.ph/o/kCXAs/https://web-beta.archive.org/web/20130315140312/http://clopfic.heroku.com/authors/579", "AnnonyMouse74")</f>
        <v>AnnonyMouse74</v>
      </c>
      <c r="J719" s="7" t="s">
        <v>39</v>
      </c>
      <c r="K719" s="7" t="s">
        <v>49</v>
      </c>
      <c r="L719" s="7" t="s">
        <v>62</v>
      </c>
      <c r="M719" s="7" t="s">
        <v>56</v>
      </c>
      <c r="N719" s="7" t="s">
        <v>47</v>
      </c>
      <c r="O719" s="7" t="s">
        <v>51</v>
      </c>
      <c r="Q719" s="7" t="s">
        <v>65</v>
      </c>
      <c r="R719" s="7" t="s">
        <v>66</v>
      </c>
      <c r="S719" s="7" t="s">
        <v>68</v>
      </c>
      <c r="T719" s="7" t="s">
        <v>59</v>
      </c>
      <c r="U719" s="7" t="s">
        <v>60</v>
      </c>
      <c r="V719" s="7" t="s">
        <v>71</v>
      </c>
      <c r="Z719" s="7" t="s">
        <v>40</v>
      </c>
      <c r="AA719" s="7" t="s">
        <v>113</v>
      </c>
      <c r="AE719" s="7" t="s">
        <v>43</v>
      </c>
      <c r="AF719" s="7" t="s">
        <v>41</v>
      </c>
      <c r="AG719" s="9">
        <v>40912.0</v>
      </c>
      <c r="AH719" s="9">
        <v>40912.0</v>
      </c>
    </row>
    <row r="720">
      <c r="A720" s="6" t="str">
        <f>HYPERLINK("https://archive.ph/o/kCXAs/https://web-beta.archive.org/web/20130315140312/http://clopfic.heroku.com/fics/677", "An Orgy Makes It All Complete")</f>
        <v>An Orgy Makes It All Complete</v>
      </c>
      <c r="H720" s="8" t="s">
        <v>766</v>
      </c>
      <c r="I720" s="6" t="str">
        <f>HYPERLINK("https://archive.ph/o/kCXAs/https://web-beta.archive.org/web/20130315140312/http://clopfic.heroku.com/authors/1", "RagingSemi")</f>
        <v>RagingSemi</v>
      </c>
      <c r="J720" s="7" t="s">
        <v>39</v>
      </c>
      <c r="K720" s="7" t="s">
        <v>49</v>
      </c>
      <c r="L720" s="7" t="s">
        <v>62</v>
      </c>
      <c r="M720" s="7" t="s">
        <v>56</v>
      </c>
      <c r="N720" s="7" t="s">
        <v>47</v>
      </c>
      <c r="O720" s="7" t="s">
        <v>51</v>
      </c>
      <c r="AG720" s="9">
        <v>40911.0</v>
      </c>
      <c r="AH720" s="9">
        <v>40911.0</v>
      </c>
    </row>
    <row r="721">
      <c r="A721" s="6" t="str">
        <f>HYPERLINK("https://archive.ph/o/kCXAs/https://web-beta.archive.org/web/20130315140312/http://clopfic.heroku.com/fics/672", "Spike's Dirty Little Secret")</f>
        <v>Spike's Dirty Little Secret</v>
      </c>
      <c r="E721" s="7" t="s">
        <v>44</v>
      </c>
      <c r="F721" s="7" t="s">
        <v>52</v>
      </c>
      <c r="H721" s="8" t="s">
        <v>767</v>
      </c>
      <c r="I721" s="6" t="str">
        <f>HYPERLINK("https://archive.ph/o/kCXAs/https://web-beta.archive.org/web/20130315140312/http://clopfic.heroku.com/authors/1632", "Autumn Scratch")</f>
        <v>Autumn Scratch</v>
      </c>
      <c r="J721" s="7" t="s">
        <v>39</v>
      </c>
      <c r="K721" s="7" t="s">
        <v>49</v>
      </c>
      <c r="M721" s="7" t="s">
        <v>56</v>
      </c>
      <c r="R721" s="7" t="s">
        <v>66</v>
      </c>
      <c r="AG721" s="9">
        <v>40910.0</v>
      </c>
      <c r="AH721" s="9">
        <v>40911.0</v>
      </c>
    </row>
    <row r="722">
      <c r="A722" s="6" t="str">
        <f>HYPERLINK("https://archive.ph/o/kCXAs/https://web-beta.archive.org/web/20130315140312/http://clopfic.heroku.com/fics/674", "Dashies Night In")</f>
        <v>Dashies Night In</v>
      </c>
      <c r="C722" s="7" t="s">
        <v>54</v>
      </c>
      <c r="D722" s="7" t="s">
        <v>37</v>
      </c>
      <c r="E722" s="7" t="s">
        <v>44</v>
      </c>
      <c r="H722" s="8" t="s">
        <v>768</v>
      </c>
      <c r="I722" s="6" t="str">
        <f>HYPERLINK("https://archive.ph/o/kCXAs/https://web-beta.archive.org/web/20130315140312/http://clopfic.heroku.com/authors/356", "Metals")</f>
        <v>Metals</v>
      </c>
      <c r="M722" s="7" t="s">
        <v>56</v>
      </c>
      <c r="Z722" s="7" t="s">
        <v>40</v>
      </c>
      <c r="AF722" s="7" t="s">
        <v>41</v>
      </c>
      <c r="AG722" s="9">
        <v>40910.0</v>
      </c>
      <c r="AH722" s="9">
        <v>40910.0</v>
      </c>
    </row>
    <row r="723">
      <c r="A723" s="6" t="str">
        <f>HYPERLINK("https://archive.ph/o/kCXAs/https://web-beta.archive.org/web/20130315140312/http://clopfic.heroku.com/fics/671", "Higher Living")</f>
        <v>Higher Living</v>
      </c>
      <c r="E723" s="7" t="s">
        <v>44</v>
      </c>
      <c r="H723" s="8" t="s">
        <v>769</v>
      </c>
      <c r="I723" s="6" t="str">
        <f>HYPERLINK("https://archive.ph/o/kCXAs/https://web-beta.archive.org/web/20130315140312/http://clopfic.heroku.com/authors/355", "Liquid Rainbows")</f>
        <v>Liquid Rainbows</v>
      </c>
      <c r="Z723" s="7" t="s">
        <v>40</v>
      </c>
      <c r="AE723" s="7" t="s">
        <v>43</v>
      </c>
      <c r="AG723" s="9">
        <v>40910.0</v>
      </c>
      <c r="AH723" s="9">
        <v>40910.0</v>
      </c>
    </row>
    <row r="724">
      <c r="A724" s="6" t="str">
        <f>HYPERLINK("https://archive.ph/o/kCXAs/https://web-beta.archive.org/web/20130315140312/http://clopfic.heroku.com/fics/670", "Teasing the Royal Guard")</f>
        <v>Teasing the Royal Guard</v>
      </c>
      <c r="G724" s="7" t="s">
        <v>75</v>
      </c>
      <c r="H724" s="8" t="s">
        <v>770</v>
      </c>
      <c r="I724" s="6" t="str">
        <f>HYPERLINK("https://archive.ph/o/kCXAs/https://web-beta.archive.org/web/20130315140312/http://clopfic.heroku.com/authors/379", "Kanmeros")</f>
        <v>Kanmeros</v>
      </c>
      <c r="M724" s="7" t="s">
        <v>56</v>
      </c>
      <c r="Z724" s="7" t="s">
        <v>40</v>
      </c>
      <c r="AE724" s="7" t="s">
        <v>43</v>
      </c>
      <c r="AG724" s="9">
        <v>40910.0</v>
      </c>
      <c r="AH724" s="9">
        <v>40910.0</v>
      </c>
    </row>
    <row r="725">
      <c r="A725" s="6" t="str">
        <f>HYPERLINK("https://archive.ph/o/kCXAs/https://web-beta.archive.org/web/20130315140312/http://clopfic.heroku.com/fics/669", "Etta's New Desk")</f>
        <v>Etta's New Desk</v>
      </c>
      <c r="D725" s="7" t="s">
        <v>37</v>
      </c>
      <c r="H725" s="8" t="s">
        <v>771</v>
      </c>
      <c r="I725" s="6" t="str">
        <f>HYPERLINK("https://archive.ph/o/kCXAs/https://web-beta.archive.org/web/20130315140312/http://clopfic.heroku.com/authors/378", "Shivered Timbers")</f>
        <v>Shivered Timbers</v>
      </c>
      <c r="Z725" s="7" t="s">
        <v>40</v>
      </c>
      <c r="AF725" s="7" t="s">
        <v>41</v>
      </c>
      <c r="AG725" s="9">
        <v>40910.0</v>
      </c>
      <c r="AH725" s="9">
        <v>40910.0</v>
      </c>
    </row>
    <row r="726">
      <c r="A726" s="6" t="str">
        <f>HYPERLINK("https://archive.ph/o/kCXAs/https://web-beta.archive.org/web/20130315140312/http://clopfic.heroku.com/fics/668", "The Royal Visit")</f>
        <v>The Royal Visit</v>
      </c>
      <c r="C726" s="7" t="s">
        <v>54</v>
      </c>
      <c r="D726" s="7" t="s">
        <v>37</v>
      </c>
      <c r="E726" s="7" t="s">
        <v>44</v>
      </c>
      <c r="H726" s="8" t="s">
        <v>772</v>
      </c>
      <c r="I726" s="6" t="str">
        <f>HYPERLINK("https://archive.ph/o/kCXAs/https://web-beta.archive.org/web/20130315140312/http://clopfic.heroku.com/authors/356", "Metals")</f>
        <v>Metals</v>
      </c>
      <c r="Q726" s="7" t="s">
        <v>65</v>
      </c>
      <c r="Z726" s="7" t="s">
        <v>40</v>
      </c>
      <c r="AF726" s="7" t="s">
        <v>41</v>
      </c>
      <c r="AG726" s="9">
        <v>40909.0</v>
      </c>
      <c r="AH726" s="9">
        <v>40909.0</v>
      </c>
    </row>
    <row r="727">
      <c r="A727" s="6" t="str">
        <f>HYPERLINK("https://archive.ph/o/kCXAs/https://web-beta.archive.org/web/20130315140312/http://clopfic.heroku.com/fics/667", "If Her Majesty Wishes")</f>
        <v>If Her Majesty Wishes</v>
      </c>
      <c r="E727" s="7" t="s">
        <v>44</v>
      </c>
      <c r="H727" s="8" t="s">
        <v>773</v>
      </c>
      <c r="I727" s="6" t="str">
        <f>HYPERLINK("https://archive.ph/o/kCXAs/https://web-beta.archive.org/web/20130315140312/http://clopfic.heroku.com/authors/355", "Liquid Rainbows")</f>
        <v>Liquid Rainbows</v>
      </c>
      <c r="P727" s="7" t="s">
        <v>64</v>
      </c>
      <c r="Z727" s="7" t="s">
        <v>40</v>
      </c>
      <c r="AF727" s="7" t="s">
        <v>41</v>
      </c>
      <c r="AG727" s="9">
        <v>40909.0</v>
      </c>
      <c r="AH727" s="9">
        <v>40909.0</v>
      </c>
    </row>
    <row r="728">
      <c r="A728" s="6" t="str">
        <f>HYPERLINK("https://archive.ph/o/kCXAs/https://web-beta.archive.org/web/20130315140312/http://clopfic.heroku.com/fics/666", "Ruby's Noodle")</f>
        <v>Ruby's Noodle</v>
      </c>
      <c r="D728" s="7" t="s">
        <v>37</v>
      </c>
      <c r="H728" s="8" t="s">
        <v>774</v>
      </c>
      <c r="I728" s="6" t="str">
        <f>HYPERLINK("https://archive.ph/o/kCXAs/https://web-beta.archive.org/web/20130315140312/http://clopfic.heroku.com/authors/367", "Trompony")</f>
        <v>Trompony</v>
      </c>
      <c r="Z728" s="7" t="s">
        <v>40</v>
      </c>
      <c r="AE728" s="7" t="s">
        <v>43</v>
      </c>
      <c r="AG728" s="9">
        <v>40909.0</v>
      </c>
      <c r="AH728" s="9">
        <v>40909.0</v>
      </c>
    </row>
    <row r="729">
      <c r="A729" s="6" t="str">
        <f>HYPERLINK("https://archive.ph/o/kCXAs/https://web-beta.archive.org/web/20130315140312/http://clopfic.heroku.com/fics/665", "A Night at Zecora's")</f>
        <v>A Night at Zecora's</v>
      </c>
      <c r="B729" s="7" t="s">
        <v>36</v>
      </c>
      <c r="D729" s="7" t="s">
        <v>37</v>
      </c>
      <c r="H729" s="8" t="s">
        <v>775</v>
      </c>
      <c r="I729" s="6" t="str">
        <f>HYPERLINK("https://archive.ph/o/kCXAs/https://web-beta.archive.org/web/20130315140312/http://clopfic.heroku.com/authors/227", "Turntables and Ted")</f>
        <v>Turntables and Ted</v>
      </c>
      <c r="S729" s="7" t="s">
        <v>68</v>
      </c>
      <c r="X729" s="7" t="s">
        <v>107</v>
      </c>
      <c r="AG729" s="9">
        <v>40909.0</v>
      </c>
      <c r="AH729" s="9">
        <v>40909.0</v>
      </c>
    </row>
    <row r="730">
      <c r="A730" s="6" t="str">
        <f>HYPERLINK("https://archive.ph/o/kCXAs/https://web-beta.archive.org/web/20130315140312/http://clopfic.heroku.com/fics/664", "Lunaughty")</f>
        <v>Lunaughty</v>
      </c>
      <c r="B730" s="7" t="s">
        <v>36</v>
      </c>
      <c r="D730" s="7" t="s">
        <v>37</v>
      </c>
      <c r="H730" s="8" t="s">
        <v>776</v>
      </c>
      <c r="I730" s="6" t="str">
        <f t="shared" ref="I730:I731" si="27">HYPERLINK("https://archive.ph/o/kCXAs/https://web-beta.archive.org/web/20130315140312/http://clopfic.heroku.com/authors/71", "StreakTheFox")</f>
        <v>StreakTheFox</v>
      </c>
      <c r="J730" s="7" t="s">
        <v>39</v>
      </c>
      <c r="K730" s="7" t="s">
        <v>49</v>
      </c>
      <c r="L730" s="7" t="s">
        <v>62</v>
      </c>
      <c r="M730" s="7" t="s">
        <v>56</v>
      </c>
      <c r="N730" s="7" t="s">
        <v>47</v>
      </c>
      <c r="O730" s="7" t="s">
        <v>51</v>
      </c>
      <c r="P730" s="7" t="s">
        <v>64</v>
      </c>
      <c r="Q730" s="7" t="s">
        <v>65</v>
      </c>
      <c r="R730" s="7" t="s">
        <v>66</v>
      </c>
      <c r="S730" s="7" t="s">
        <v>68</v>
      </c>
      <c r="T730" s="7" t="s">
        <v>59</v>
      </c>
      <c r="U730" s="7" t="s">
        <v>60</v>
      </c>
      <c r="V730" s="7" t="s">
        <v>71</v>
      </c>
      <c r="W730" s="7" t="s">
        <v>69</v>
      </c>
      <c r="Z730" s="7" t="s">
        <v>40</v>
      </c>
      <c r="AA730" s="7" t="s">
        <v>113</v>
      </c>
      <c r="AB730" s="7" t="s">
        <v>101</v>
      </c>
      <c r="AC730" s="7" t="s">
        <v>102</v>
      </c>
      <c r="AD730" s="7" t="s">
        <v>111</v>
      </c>
      <c r="AE730" s="7" t="s">
        <v>43</v>
      </c>
      <c r="AF730" s="7" t="s">
        <v>41</v>
      </c>
      <c r="AG730" s="9">
        <v>40908.0</v>
      </c>
      <c r="AH730" s="9">
        <v>40908.0</v>
      </c>
    </row>
    <row r="731">
      <c r="A731" s="6" t="str">
        <f>HYPERLINK("https://archive.ph/o/kCXAs/https://web-beta.archive.org/web/20130315140312/http://clopfic.heroku.com/fics/224", "Princess Molestia (Complete with Alt. Endings)")</f>
        <v>Princess Molestia (Complete with Alt. Endings)</v>
      </c>
      <c r="B731" s="7" t="s">
        <v>36</v>
      </c>
      <c r="D731" s="7" t="s">
        <v>37</v>
      </c>
      <c r="H731" s="8" t="s">
        <v>777</v>
      </c>
      <c r="I731" s="6" t="str">
        <f t="shared" si="27"/>
        <v>StreakTheFox</v>
      </c>
      <c r="J731" s="7" t="s">
        <v>39</v>
      </c>
      <c r="K731" s="7" t="s">
        <v>49</v>
      </c>
      <c r="L731" s="7" t="s">
        <v>62</v>
      </c>
      <c r="M731" s="7" t="s">
        <v>56</v>
      </c>
      <c r="N731" s="7" t="s">
        <v>47</v>
      </c>
      <c r="O731" s="7" t="s">
        <v>51</v>
      </c>
      <c r="P731" s="7" t="s">
        <v>64</v>
      </c>
      <c r="Q731" s="7" t="s">
        <v>65</v>
      </c>
      <c r="R731" s="7" t="s">
        <v>66</v>
      </c>
      <c r="S731" s="7" t="s">
        <v>68</v>
      </c>
      <c r="T731" s="7" t="s">
        <v>59</v>
      </c>
      <c r="U731" s="7" t="s">
        <v>60</v>
      </c>
      <c r="V731" s="7" t="s">
        <v>71</v>
      </c>
      <c r="W731" s="7" t="s">
        <v>69</v>
      </c>
      <c r="AG731" s="9">
        <v>40764.0</v>
      </c>
      <c r="AH731" s="9">
        <v>40908.0</v>
      </c>
    </row>
    <row r="732">
      <c r="A732" s="6" t="str">
        <f>HYPERLINK("https://archive.ph/o/kCXAs/https://web-beta.archive.org/web/20130315140312/http://clopfic.heroku.com/fics/663", "Rarity's Favor/Twilight's Late Report")</f>
        <v>Rarity's Favor/Twilight's Late Report</v>
      </c>
      <c r="D732" s="7" t="s">
        <v>37</v>
      </c>
      <c r="E732" s="7" t="s">
        <v>44</v>
      </c>
      <c r="H732" s="8" t="s">
        <v>778</v>
      </c>
      <c r="I732" s="6" t="str">
        <f>HYPERLINK("https://archive.ph/o/kCXAs/https://web-beta.archive.org/web/20130315140312/http://clopfic.heroku.com/authors/356", "Metals")</f>
        <v>Metals</v>
      </c>
      <c r="J732" s="7" t="s">
        <v>39</v>
      </c>
      <c r="N732" s="7" t="s">
        <v>47</v>
      </c>
      <c r="P732" s="7" t="s">
        <v>64</v>
      </c>
      <c r="R732" s="7" t="s">
        <v>66</v>
      </c>
      <c r="AG732" s="9">
        <v>40907.0</v>
      </c>
      <c r="AH732" s="9">
        <v>40907.0</v>
      </c>
    </row>
    <row r="733">
      <c r="A733" s="6" t="str">
        <f>HYPERLINK("https://archive.ph/o/kCXAs/https://web-beta.archive.org/web/20130315140312/http://clopfic.heroku.com/fics/662", "Guard Duty")</f>
        <v>Guard Duty</v>
      </c>
      <c r="E733" s="7" t="s">
        <v>44</v>
      </c>
      <c r="H733" s="8" t="s">
        <v>779</v>
      </c>
      <c r="I733" s="6" t="str">
        <f>HYPERLINK("https://archive.ph/o/kCXAs/https://web-beta.archive.org/web/20130315140312/http://clopfic.heroku.com/authors/255", "Anonybus")</f>
        <v>Anonybus</v>
      </c>
      <c r="P733" s="7" t="s">
        <v>64</v>
      </c>
      <c r="Q733" s="7" t="s">
        <v>65</v>
      </c>
      <c r="Z733" s="7" t="s">
        <v>40</v>
      </c>
      <c r="AE733" s="7" t="s">
        <v>43</v>
      </c>
      <c r="AG733" s="9">
        <v>40907.0</v>
      </c>
      <c r="AH733" s="9">
        <v>40907.0</v>
      </c>
    </row>
    <row r="734">
      <c r="A734" s="6" t="str">
        <f>HYPERLINK("https://archive.ph/o/kCXAs/https://web-beta.archive.org/web/20130315140312/http://clopfic.heroku.com/fics/660", "Chronicles of a Canterlot Guard ")</f>
        <v>Chronicles of a Canterlot Guard </v>
      </c>
      <c r="B734" s="7" t="s">
        <v>36</v>
      </c>
      <c r="H734" s="8" t="s">
        <v>780</v>
      </c>
      <c r="I734" s="6" t="str">
        <f>HYPERLINK("https://archive.ph/o/kCXAs/https://web-beta.archive.org/web/20130315140312/http://clopfic.heroku.com/authors/355", "Liquid Rainbows")</f>
        <v>Liquid Rainbows</v>
      </c>
      <c r="J734" s="7" t="s">
        <v>39</v>
      </c>
      <c r="K734" s="7" t="s">
        <v>49</v>
      </c>
      <c r="L734" s="7" t="s">
        <v>62</v>
      </c>
      <c r="M734" s="7" t="s">
        <v>56</v>
      </c>
      <c r="N734" s="7" t="s">
        <v>47</v>
      </c>
      <c r="O734" s="7" t="s">
        <v>51</v>
      </c>
      <c r="P734" s="7" t="s">
        <v>64</v>
      </c>
      <c r="R734" s="7" t="s">
        <v>66</v>
      </c>
      <c r="Z734" s="7" t="s">
        <v>40</v>
      </c>
      <c r="AE734" s="7" t="s">
        <v>43</v>
      </c>
      <c r="AF734" s="7" t="s">
        <v>41</v>
      </c>
      <c r="AG734" s="9">
        <v>40907.0</v>
      </c>
      <c r="AH734" s="9">
        <v>40907.0</v>
      </c>
    </row>
    <row r="735">
      <c r="A735" s="6" t="str">
        <f>HYPERLINK("https://archive.ph/o/kCXAs/https://web-beta.archive.org/web/20130315140312/http://clopfic.heroku.com/fics/661", "Bounce")</f>
        <v>Bounce</v>
      </c>
      <c r="C735" s="7" t="s">
        <v>54</v>
      </c>
      <c r="G735" s="7" t="s">
        <v>75</v>
      </c>
      <c r="H735" s="8" t="s">
        <v>781</v>
      </c>
      <c r="I735" s="6" t="str">
        <f>HYPERLINK("https://archive.ph/o/kCXAs/https://web-beta.archive.org/web/20130315140312/http://clopfic.heroku.com/authors/238", "NK_6060")</f>
        <v>NK_6060</v>
      </c>
      <c r="Z735" s="7" t="s">
        <v>40</v>
      </c>
      <c r="AE735" s="7" t="s">
        <v>43</v>
      </c>
      <c r="AG735" s="9">
        <v>40907.0</v>
      </c>
      <c r="AH735" s="9">
        <v>40907.0</v>
      </c>
    </row>
    <row r="736">
      <c r="A736" s="6" t="str">
        <f>HYPERLINK("https://archive.ph/o/kCXAs/https://web-beta.archive.org/web/20130315140312/http://clopfic.heroku.com/fics/658", "Fluttershy Needs Bellyrubs")</f>
        <v>Fluttershy Needs Bellyrubs</v>
      </c>
      <c r="C736" s="7" t="s">
        <v>54</v>
      </c>
      <c r="D736" s="7" t="s">
        <v>37</v>
      </c>
      <c r="E736" s="7" t="s">
        <v>44</v>
      </c>
      <c r="H736" s="8" t="s">
        <v>782</v>
      </c>
      <c r="I736" s="6" t="str">
        <f>HYPERLINK("https://archive.ph/o/kCXAs/https://web-beta.archive.org/web/20130315140312/http://clopfic.heroku.com/authors/356", "Metals")</f>
        <v>Metals</v>
      </c>
      <c r="O736" s="7" t="s">
        <v>51</v>
      </c>
      <c r="Z736" s="7" t="s">
        <v>40</v>
      </c>
      <c r="AF736" s="7" t="s">
        <v>41</v>
      </c>
      <c r="AG736" s="9">
        <v>40907.0</v>
      </c>
      <c r="AH736" s="9">
        <v>40907.0</v>
      </c>
    </row>
    <row r="737">
      <c r="A737" s="6" t="str">
        <f>HYPERLINK("https://archive.ph/o/kCXAs/https://web-beta.archive.org/web/20130315140312/http://clopfic.heroku.com/fics/655", "Trixie's Terrible Revenge")</f>
        <v>Trixie's Terrible Revenge</v>
      </c>
      <c r="B737" s="7" t="s">
        <v>36</v>
      </c>
      <c r="D737" s="7" t="s">
        <v>37</v>
      </c>
      <c r="H737" s="8" t="s">
        <v>783</v>
      </c>
      <c r="I737" s="6" t="str">
        <f>HYPERLINK("https://archive.ph/o/kCXAs/https://web-beta.archive.org/web/20130315140312/http://clopfic.heroku.com/authors/253", "TAW")</f>
        <v>TAW</v>
      </c>
      <c r="J737" s="7" t="s">
        <v>39</v>
      </c>
      <c r="W737" s="7" t="s">
        <v>69</v>
      </c>
      <c r="AG737" s="9">
        <v>40905.0</v>
      </c>
      <c r="AH737" s="9">
        <v>40905.0</v>
      </c>
    </row>
    <row r="738">
      <c r="A738" s="6" t="str">
        <f>HYPERLINK("https://archive.ph/o/kCXAs/https://web-beta.archive.org/web/20130315140312/http://clopfic.heroku.com/fics/653", "Red Skies Come Morning")</f>
        <v>Red Skies Come Morning</v>
      </c>
      <c r="E738" s="7" t="s">
        <v>44</v>
      </c>
      <c r="F738" s="7" t="s">
        <v>52</v>
      </c>
      <c r="G738" s="7" t="s">
        <v>75</v>
      </c>
      <c r="H738" s="8" t="s">
        <v>784</v>
      </c>
      <c r="I738" s="6" t="str">
        <f>HYPERLINK("https://archive.ph/o/kCXAs/https://web-beta.archive.org/web/20130315140312/http://clopfic.heroku.com/authors/632", "Ikelokelire")</f>
        <v>Ikelokelire</v>
      </c>
      <c r="P738" s="7" t="s">
        <v>64</v>
      </c>
      <c r="Q738" s="7" t="s">
        <v>65</v>
      </c>
      <c r="Z738" s="7" t="s">
        <v>40</v>
      </c>
      <c r="AE738" s="7" t="s">
        <v>43</v>
      </c>
      <c r="AF738" s="7" t="s">
        <v>41</v>
      </c>
      <c r="AG738" s="9">
        <v>40905.0</v>
      </c>
      <c r="AH738" s="9">
        <v>40905.0</v>
      </c>
    </row>
    <row r="739">
      <c r="A739" s="6" t="str">
        <f>HYPERLINK("https://archive.ph/o/kCXAs/https://web-beta.archive.org/web/20130315140312/http://clopfic.heroku.com/fics/652", "Settin' the Roof Aflame")</f>
        <v>Settin' the Roof Aflame</v>
      </c>
      <c r="C739" s="7" t="s">
        <v>54</v>
      </c>
      <c r="G739" s="7" t="s">
        <v>75</v>
      </c>
      <c r="H739" s="8" t="s">
        <v>785</v>
      </c>
      <c r="I739" s="6" t="str">
        <f>HYPERLINK("https://archive.ph/o/kCXAs/https://web-beta.archive.org/web/20130315140312/http://clopfic.heroku.com/authors/238", "NK_6060")</f>
        <v>NK_6060</v>
      </c>
      <c r="Z739" s="7" t="s">
        <v>40</v>
      </c>
      <c r="AE739" s="7" t="s">
        <v>43</v>
      </c>
      <c r="AG739" s="9">
        <v>40904.0</v>
      </c>
      <c r="AH739" s="9">
        <v>40904.0</v>
      </c>
    </row>
    <row r="740">
      <c r="A740" s="6" t="str">
        <f>HYPERLINK("https://archive.ph/o/kCXAs/https://web-beta.archive.org/web/20130315140312/http://clopfic.heroku.com/fics/651", "Lessons in Love")</f>
        <v>Lessons in Love</v>
      </c>
      <c r="E740" s="7" t="s">
        <v>44</v>
      </c>
      <c r="F740" s="7" t="s">
        <v>52</v>
      </c>
      <c r="H740" s="8" t="s">
        <v>786</v>
      </c>
      <c r="I740" s="6" t="str">
        <f>HYPERLINK("https://archive.ph/o/kCXAs/https://web-beta.archive.org/web/20130315140312/http://clopfic.heroku.com/authors/353", "CynicalBastard2550")</f>
        <v>CynicalBastard2550</v>
      </c>
      <c r="S740" s="7" t="s">
        <v>68</v>
      </c>
      <c r="Z740" s="7" t="s">
        <v>40</v>
      </c>
      <c r="AD740" s="7" t="s">
        <v>111</v>
      </c>
      <c r="AG740" s="9">
        <v>40904.0</v>
      </c>
      <c r="AH740" s="9">
        <v>40904.0</v>
      </c>
    </row>
    <row r="741">
      <c r="A741" s="6" t="str">
        <f>HYPERLINK("https://archive.ph/o/kCXAs/https://web-beta.archive.org/web/20130315140312/http://clopfic.heroku.com/fics/639", "The Bedroom")</f>
        <v>The Bedroom</v>
      </c>
      <c r="E741" s="7" t="s">
        <v>44</v>
      </c>
      <c r="F741" s="7" t="s">
        <v>52</v>
      </c>
      <c r="H741" s="8" t="s">
        <v>787</v>
      </c>
      <c r="I741" s="6" t="str">
        <f>HYPERLINK("https://archive.ph/o/kCXAs/https://web-beta.archive.org/web/20130315140312/http://clopfic.heroku.com/authors/346", "Jinadan")</f>
        <v>Jinadan</v>
      </c>
      <c r="J741" s="7" t="s">
        <v>39</v>
      </c>
      <c r="M741" s="7" t="s">
        <v>56</v>
      </c>
      <c r="N741" s="7" t="s">
        <v>47</v>
      </c>
      <c r="O741" s="7" t="s">
        <v>51</v>
      </c>
      <c r="AG741" s="9">
        <v>40898.0</v>
      </c>
      <c r="AH741" s="9">
        <v>40903.0</v>
      </c>
    </row>
    <row r="742">
      <c r="A742" s="6" t="str">
        <f>HYPERLINK("https://archive.ph/o/kCXAs/https://web-beta.archive.org/web/20130315140312/http://clopfic.heroku.com/fics/650", "Rainbow lightning strikes and an ex pony")</f>
        <v>Rainbow lightning strikes and an ex pony</v>
      </c>
      <c r="B742" s="7" t="s">
        <v>36</v>
      </c>
      <c r="C742" s="7" t="s">
        <v>54</v>
      </c>
      <c r="D742" s="7" t="s">
        <v>37</v>
      </c>
      <c r="F742" s="7" t="s">
        <v>52</v>
      </c>
      <c r="H742" s="8" t="s">
        <v>788</v>
      </c>
      <c r="I742" s="6" t="str">
        <f>HYPERLINK("https://archive.ph/o/kCXAs/https://web-beta.archive.org/web/20130315140312/http://clopfic.heroku.com/authors/699", "My Dick")</f>
        <v>My Dick</v>
      </c>
      <c r="J742" s="7" t="s">
        <v>39</v>
      </c>
      <c r="K742" s="7" t="s">
        <v>49</v>
      </c>
      <c r="L742" s="7" t="s">
        <v>62</v>
      </c>
      <c r="M742" s="7" t="s">
        <v>56</v>
      </c>
      <c r="O742" s="7" t="s">
        <v>51</v>
      </c>
      <c r="P742" s="7" t="s">
        <v>64</v>
      </c>
      <c r="Q742" s="7" t="s">
        <v>65</v>
      </c>
      <c r="W742" s="7" t="s">
        <v>69</v>
      </c>
      <c r="Z742" s="7" t="s">
        <v>40</v>
      </c>
      <c r="AC742" s="7" t="s">
        <v>102</v>
      </c>
      <c r="AD742" s="7" t="s">
        <v>111</v>
      </c>
      <c r="AF742" s="7" t="s">
        <v>41</v>
      </c>
      <c r="AG742" s="9">
        <v>40903.0</v>
      </c>
      <c r="AH742" s="9">
        <v>40903.0</v>
      </c>
    </row>
    <row r="743">
      <c r="A743" s="6" t="str">
        <f>HYPERLINK("https://archive.ph/o/kCXAs/https://web-beta.archive.org/web/20130315140312/http://clopfic.heroku.com/fics/606", "Repressed Memories")</f>
        <v>Repressed Memories</v>
      </c>
      <c r="B743" s="7" t="s">
        <v>36</v>
      </c>
      <c r="F743" s="7" t="s">
        <v>52</v>
      </c>
      <c r="H743" s="8" t="s">
        <v>789</v>
      </c>
      <c r="I743" s="6" t="str">
        <f>HYPERLINK("https://archive.ph/o/kCXAs/https://web-beta.archive.org/web/20130315140312/http://clopfic.heroku.com/authors/144", "Warp9")</f>
        <v>Warp9</v>
      </c>
      <c r="J743" s="7" t="s">
        <v>39</v>
      </c>
      <c r="K743" s="7" t="s">
        <v>49</v>
      </c>
      <c r="L743" s="7" t="s">
        <v>62</v>
      </c>
      <c r="M743" s="7" t="s">
        <v>56</v>
      </c>
      <c r="N743" s="7" t="s">
        <v>47</v>
      </c>
      <c r="O743" s="7" t="s">
        <v>51</v>
      </c>
      <c r="Z743" s="7" t="s">
        <v>40</v>
      </c>
      <c r="AF743" s="7" t="s">
        <v>41</v>
      </c>
      <c r="AG743" s="9">
        <v>40887.0</v>
      </c>
      <c r="AH743" s="9">
        <v>40903.0</v>
      </c>
    </row>
    <row r="744">
      <c r="A744" s="6" t="str">
        <f>HYPERLINK("https://archive.ph/o/kCXAs/https://web-beta.archive.org/web/20130315140312/http://clopfic.heroku.com/fics/644", "The Warmth of Twilight")</f>
        <v>The Warmth of Twilight</v>
      </c>
      <c r="E744" s="7" t="s">
        <v>44</v>
      </c>
      <c r="F744" s="7" t="s">
        <v>52</v>
      </c>
      <c r="H744" s="8" t="s">
        <v>383</v>
      </c>
      <c r="I744" s="6" t="str">
        <f>HYPERLINK("https://archive.ph/o/kCXAs/https://web-beta.archive.org/web/20130315140312/http://clopfic.heroku.com/authors/348", "NowhereFox")</f>
        <v>NowhereFox</v>
      </c>
      <c r="J744" s="7" t="s">
        <v>39</v>
      </c>
      <c r="R744" s="7" t="s">
        <v>66</v>
      </c>
      <c r="AG744" s="9">
        <v>40901.0</v>
      </c>
      <c r="AH744" s="9">
        <v>40903.0</v>
      </c>
    </row>
    <row r="745">
      <c r="A745" s="6" t="str">
        <f>HYPERLINK("https://archive.ph/o/kCXAs/https://web-beta.archive.org/web/20130315140312/http://clopfic.heroku.com/fics/649", "Leave The Hat On")</f>
        <v>Leave The Hat On</v>
      </c>
      <c r="D745" s="7" t="s">
        <v>37</v>
      </c>
      <c r="H745" s="8" t="s">
        <v>790</v>
      </c>
      <c r="I745" s="6" t="str">
        <f>HYPERLINK("https://archive.ph/o/kCXAs/https://web-beta.archive.org/web/20130315140312/http://clopfic.heroku.com/authors/350", "NoPony YouKnow")</f>
        <v>NoPony YouKnow</v>
      </c>
      <c r="Z745" s="7" t="s">
        <v>40</v>
      </c>
      <c r="AA745" s="7" t="s">
        <v>113</v>
      </c>
      <c r="AE745" s="7" t="s">
        <v>43</v>
      </c>
      <c r="AG745" s="9">
        <v>40902.0</v>
      </c>
      <c r="AH745" s="9">
        <v>40902.0</v>
      </c>
    </row>
    <row r="746">
      <c r="A746" s="6" t="str">
        <f>HYPERLINK("https://archive.ph/o/kCXAs/https://web-beta.archive.org/web/20130315140312/http://clopfic.heroku.com/fics/648", "Save a horse")</f>
        <v>Save a horse</v>
      </c>
      <c r="C746" s="7" t="s">
        <v>54</v>
      </c>
      <c r="E746" s="7" t="s">
        <v>44</v>
      </c>
      <c r="H746" s="8" t="s">
        <v>791</v>
      </c>
      <c r="I746" s="6" t="str">
        <f>HYPERLINK("https://archive.ph/o/kCXAs/https://web-beta.archive.org/web/20130315140312/http://clopfic.heroku.com/authors/148", "AppleloosanPsychiatrist")</f>
        <v>AppleloosanPsychiatrist</v>
      </c>
      <c r="Z746" s="7" t="s">
        <v>40</v>
      </c>
      <c r="AE746" s="7" t="s">
        <v>43</v>
      </c>
      <c r="AF746" s="7" t="s">
        <v>41</v>
      </c>
      <c r="AG746" s="9">
        <v>40902.0</v>
      </c>
      <c r="AH746" s="9">
        <v>40902.0</v>
      </c>
    </row>
    <row r="747">
      <c r="A747" s="6" t="str">
        <f>HYPERLINK("https://archive.ph/o/kCXAs/https://web-beta.archive.org/web/20130315140312/http://clopfic.heroku.com/fics/533", "The Back Room (season 2)")</f>
        <v>The Back Room (season 2)</v>
      </c>
      <c r="H747" s="8" t="s">
        <v>792</v>
      </c>
      <c r="I747" s="6" t="str">
        <f>HYPERLINK("https://archive.ph/o/kCXAs/https://web-beta.archive.org/web/20130315140312/http://clopfic.heroku.com/authors/182", "Ponyman")</f>
        <v>Ponyman</v>
      </c>
      <c r="J747" s="7" t="s">
        <v>39</v>
      </c>
      <c r="K747" s="7" t="s">
        <v>49</v>
      </c>
      <c r="M747" s="7" t="s">
        <v>56</v>
      </c>
      <c r="N747" s="7" t="s">
        <v>47</v>
      </c>
      <c r="R747" s="7" t="s">
        <v>66</v>
      </c>
      <c r="S747" s="7" t="s">
        <v>68</v>
      </c>
      <c r="T747" s="7" t="s">
        <v>59</v>
      </c>
      <c r="U747" s="7" t="s">
        <v>60</v>
      </c>
      <c r="Z747" s="7" t="s">
        <v>40</v>
      </c>
      <c r="AB747" s="7" t="s">
        <v>101</v>
      </c>
      <c r="AC747" s="7" t="s">
        <v>102</v>
      </c>
      <c r="AE747" s="7" t="s">
        <v>43</v>
      </c>
      <c r="AG747" s="9">
        <v>40834.0</v>
      </c>
      <c r="AH747" s="9">
        <v>40902.0</v>
      </c>
    </row>
    <row r="748">
      <c r="A748" s="6" t="str">
        <f>HYPERLINK("https://archive.ph/o/kCXAs/https://web-beta.archive.org/web/20130315140312/http://clopfic.heroku.com/fics/646", "The Two Best Ponies")</f>
        <v>The Two Best Ponies</v>
      </c>
      <c r="H748" s="8" t="s">
        <v>793</v>
      </c>
      <c r="I748" s="6" t="str">
        <f>HYPERLINK("https://archive.ph/o/kCXAs/https://web-beta.archive.org/web/20130315140312/http://clopfic.heroku.com/authors/1", "RagingSemi")</f>
        <v>RagingSemi</v>
      </c>
      <c r="X748" s="7" t="s">
        <v>107</v>
      </c>
      <c r="Z748" s="7" t="s">
        <v>40</v>
      </c>
      <c r="AE748" s="7" t="s">
        <v>43</v>
      </c>
      <c r="AG748" s="9">
        <v>40901.0</v>
      </c>
      <c r="AH748" s="9">
        <v>40901.0</v>
      </c>
    </row>
    <row r="749">
      <c r="A749" s="6" t="str">
        <f>HYPERLINK("https://archive.ph/o/kCXAs/https://web-beta.archive.org/web/20130315140312/http://clopfic.heroku.com/fics/643", "A great relief ")</f>
        <v>A great relief </v>
      </c>
      <c r="C749" s="7" t="s">
        <v>54</v>
      </c>
      <c r="E749" s="7" t="s">
        <v>44</v>
      </c>
      <c r="H749" s="8" t="s">
        <v>794</v>
      </c>
      <c r="I749" s="6" t="str">
        <f>HYPERLINK("https://archive.ph/o/kCXAs/https://web-beta.archive.org/web/20130315140312/http://clopfic.heroku.com/authors/198", "Theorangefox")</f>
        <v>Theorangefox</v>
      </c>
      <c r="N749" s="7" t="s">
        <v>47</v>
      </c>
      <c r="Z749" s="7" t="s">
        <v>40</v>
      </c>
      <c r="AF749" s="7" t="s">
        <v>41</v>
      </c>
      <c r="AG749" s="9">
        <v>40900.0</v>
      </c>
      <c r="AH749" s="9">
        <v>40900.0</v>
      </c>
    </row>
    <row r="750">
      <c r="A750" s="6" t="str">
        <f>HYPERLINK("https://archive.ph/o/kCXAs/https://web-beta.archive.org/web/20130315140312/http://clopfic.heroku.com/fics/595", "Two Rainbow Manes")</f>
        <v>Two Rainbow Manes</v>
      </c>
      <c r="H750" s="8" t="s">
        <v>795</v>
      </c>
      <c r="I750" s="6" t="str">
        <f>HYPERLINK("https://archive.ph/o/kCXAs/https://web-beta.archive.org/web/20130315140312/http://clopfic.heroku.com/authors/246", "timmymonsta")</f>
        <v>timmymonsta</v>
      </c>
      <c r="M750" s="7" t="s">
        <v>56</v>
      </c>
      <c r="Z750" s="7" t="s">
        <v>40</v>
      </c>
      <c r="AF750" s="7" t="s">
        <v>41</v>
      </c>
      <c r="AG750" s="9">
        <v>40883.0</v>
      </c>
      <c r="AH750" s="9">
        <v>40899.0</v>
      </c>
    </row>
    <row r="751">
      <c r="A751" s="6" t="str">
        <f>HYPERLINK("https://archive.ph/o/kCXAs/https://web-beta.archive.org/web/20130315140312/http://clopfic.heroku.com/fics/638", "A day with Twilight")</f>
        <v>A day with Twilight</v>
      </c>
      <c r="C751" s="7" t="s">
        <v>54</v>
      </c>
      <c r="E751" s="7" t="s">
        <v>44</v>
      </c>
      <c r="H751" s="8" t="s">
        <v>796</v>
      </c>
      <c r="I751" s="6" t="str">
        <f>HYPERLINK("https://archive.ph/o/kCXAs/https://web-beta.archive.org/web/20130315140312/http://clopfic.heroku.com/authors/280", "BDNFatlus")</f>
        <v>BDNFatlus</v>
      </c>
      <c r="J751" s="7" t="s">
        <v>39</v>
      </c>
      <c r="Z751" s="7" t="s">
        <v>40</v>
      </c>
      <c r="AF751" s="7" t="s">
        <v>41</v>
      </c>
      <c r="AG751" s="9">
        <v>40897.0</v>
      </c>
      <c r="AH751" s="9">
        <v>40897.0</v>
      </c>
    </row>
    <row r="752">
      <c r="A752" s="6" t="str">
        <f>HYPERLINK("https://archive.ph/o/kCXAs/https://web-beta.archive.org/web/20130315140312/http://clopfic.heroku.com/fics/635", "Apples to Apples")</f>
        <v>Apples to Apples</v>
      </c>
      <c r="E752" s="7" t="s">
        <v>44</v>
      </c>
      <c r="H752" s="8" t="s">
        <v>797</v>
      </c>
      <c r="I752" s="6" t="str">
        <f>HYPERLINK("https://archive.ph/o/kCXAs/https://web-beta.archive.org/web/20130315140312/http://clopfic.heroku.com/authors/317", "SunshineSmiles")</f>
        <v>SunshineSmiles</v>
      </c>
      <c r="L752" s="7" t="s">
        <v>62</v>
      </c>
      <c r="S752" s="7" t="s">
        <v>68</v>
      </c>
      <c r="AG752" s="9">
        <v>40897.0</v>
      </c>
      <c r="AH752" s="9">
        <v>40897.0</v>
      </c>
    </row>
    <row r="753">
      <c r="A753" s="6" t="str">
        <f>HYPERLINK("https://archive.ph/o/kCXAs/https://web-beta.archive.org/web/20130315140312/http://clopfic.heroku.com/fics/567", "Like Fine Wine")</f>
        <v>Like Fine Wine</v>
      </c>
      <c r="E753" s="7" t="s">
        <v>44</v>
      </c>
      <c r="H753" s="8" t="s">
        <v>798</v>
      </c>
      <c r="I753" s="6" t="str">
        <f>HYPERLINK("https://archive.ph/o/kCXAs/https://web-beta.archive.org/web/20130315140312/http://clopfic.heroku.com/authors/70", "SleeplessBrony")</f>
        <v>SleeplessBrony</v>
      </c>
      <c r="N753" s="7" t="s">
        <v>47</v>
      </c>
      <c r="R753" s="7" t="s">
        <v>66</v>
      </c>
      <c r="AG753" s="9">
        <v>40864.0</v>
      </c>
      <c r="AH753" s="9">
        <v>40897.0</v>
      </c>
    </row>
    <row r="754">
      <c r="A754" s="6" t="str">
        <f>HYPERLINK("https://archive.ph/o/kCXAs/https://web-beta.archive.org/web/20130315140312/http://clopfic.heroku.com/fics/624", "New Moon")</f>
        <v>New Moon</v>
      </c>
      <c r="B754" s="7" t="s">
        <v>36</v>
      </c>
      <c r="E754" s="7" t="s">
        <v>44</v>
      </c>
      <c r="H754" s="8" t="s">
        <v>799</v>
      </c>
      <c r="I754" s="6" t="str">
        <f>HYPERLINK("https://archive.ph/o/kCXAs/https://web-beta.archive.org/web/20130315140312/http://clopfic.heroku.com/fics", "/fics")</f>
        <v>/fics</v>
      </c>
      <c r="J754" s="7" t="s">
        <v>39</v>
      </c>
      <c r="K754" s="7" t="s">
        <v>49</v>
      </c>
      <c r="L754" s="7" t="s">
        <v>62</v>
      </c>
      <c r="M754" s="7" t="s">
        <v>56</v>
      </c>
      <c r="O754" s="7" t="s">
        <v>51</v>
      </c>
      <c r="P754" s="7" t="s">
        <v>64</v>
      </c>
      <c r="Q754" s="7" t="s">
        <v>65</v>
      </c>
      <c r="V754" s="7" t="s">
        <v>71</v>
      </c>
      <c r="Z754" s="7" t="s">
        <v>40</v>
      </c>
      <c r="AF754" s="7" t="s">
        <v>41</v>
      </c>
      <c r="AG754" s="9">
        <v>40894.0</v>
      </c>
      <c r="AH754" s="9">
        <v>40897.0</v>
      </c>
    </row>
    <row r="755">
      <c r="A755" s="6" t="str">
        <f>HYPERLINK("https://archive.ph/o/kCXAs/https://web-beta.archive.org/web/20130315140312/http://clopfic.heroku.com/fics/626", "SPIKE SMASH!!!!!")</f>
        <v>SPIKE SMASH!!!!!</v>
      </c>
      <c r="D755" s="7" t="s">
        <v>37</v>
      </c>
      <c r="E755" s="7" t="s">
        <v>44</v>
      </c>
      <c r="H755" s="8" t="s">
        <v>800</v>
      </c>
      <c r="I755" s="6" t="str">
        <f>HYPERLINK("https://archive.ph/o/kCXAs/https://web-beta.archive.org/web/20130315140312/http://clopfic.heroku.com/authors/193", "TheCrazyDumbass")</f>
        <v>TheCrazyDumbass</v>
      </c>
      <c r="J755" s="7" t="s">
        <v>39</v>
      </c>
      <c r="K755" s="7" t="s">
        <v>49</v>
      </c>
      <c r="N755" s="7" t="s">
        <v>47</v>
      </c>
      <c r="O755" s="7" t="s">
        <v>51</v>
      </c>
      <c r="P755" s="7" t="s">
        <v>64</v>
      </c>
      <c r="R755" s="7" t="s">
        <v>66</v>
      </c>
      <c r="W755" s="7" t="s">
        <v>69</v>
      </c>
      <c r="Z755" s="7" t="s">
        <v>40</v>
      </c>
      <c r="AE755" s="7" t="s">
        <v>43</v>
      </c>
      <c r="AG755" s="9">
        <v>40895.0</v>
      </c>
      <c r="AH755" s="9">
        <v>40895.0</v>
      </c>
    </row>
    <row r="756">
      <c r="A756" s="6" t="str">
        <f>HYPERLINK("https://archive.ph/o/kCXAs/https://web-beta.archive.org/web/20130315140312/http://clopfic.heroku.com/fics/625", "Fallout Equestria: A Mare Worth Fighting For")</f>
        <v>Fallout Equestria: A Mare Worth Fighting For</v>
      </c>
      <c r="E756" s="7" t="s">
        <v>44</v>
      </c>
      <c r="H756" s="8" t="s">
        <v>801</v>
      </c>
      <c r="I756" s="6" t="str">
        <f>HYPERLINK("https://archive.ph/o/kCXAs/https://web-beta.archive.org/web/20130315140312/http://clopfic.heroku.com/authors/108", "Pacce")</f>
        <v>Pacce</v>
      </c>
      <c r="Z756" s="7" t="s">
        <v>40</v>
      </c>
      <c r="AF756" s="7" t="s">
        <v>41</v>
      </c>
      <c r="AG756" s="9">
        <v>40894.0</v>
      </c>
      <c r="AH756" s="9">
        <v>40894.0</v>
      </c>
    </row>
    <row r="757">
      <c r="A757" s="6" t="str">
        <f>HYPERLINK("https://archive.ph/o/kCXAs/https://web-beta.archive.org/web/20130315140312/http://clopfic.heroku.com/fics/623", "Dashing that Rainbow")</f>
        <v>Dashing that Rainbow</v>
      </c>
      <c r="C757" s="7" t="s">
        <v>54</v>
      </c>
      <c r="E757" s="7" t="s">
        <v>44</v>
      </c>
      <c r="H757" s="8" t="s">
        <v>802</v>
      </c>
      <c r="I757" s="6" t="str">
        <f>HYPERLINK("https://archive.ph/o/kCXAs/https://web-beta.archive.org/web/20130315140312/http://clopfic.heroku.com/authors/253", "TAW")</f>
        <v>TAW</v>
      </c>
      <c r="M757" s="7" t="s">
        <v>56</v>
      </c>
      <c r="Z757" s="7" t="s">
        <v>40</v>
      </c>
      <c r="AF757" s="7" t="s">
        <v>41</v>
      </c>
      <c r="AG757" s="9">
        <v>40892.0</v>
      </c>
      <c r="AH757" s="9">
        <v>40892.0</v>
      </c>
    </row>
    <row r="758">
      <c r="A758" s="6" t="str">
        <f>HYPERLINK("https://archive.ph/o/kCXAs/https://web-beta.archive.org/web/20130315140312/http://clopfic.heroku.com/fics/622", "The End of a Rainbow")</f>
        <v>The End of a Rainbow</v>
      </c>
      <c r="D758" s="7" t="s">
        <v>37</v>
      </c>
      <c r="E758" s="7" t="s">
        <v>44</v>
      </c>
      <c r="H758" s="8" t="s">
        <v>803</v>
      </c>
      <c r="I758" s="6" t="str">
        <f>HYPERLINK("https://archive.ph/o/kCXAs/https://web-beta.archive.org/web/20130315140312/http://clopfic.heroku.com/authors/262", "kits")</f>
        <v>kits</v>
      </c>
      <c r="K758" s="7" t="s">
        <v>49</v>
      </c>
      <c r="M758" s="7" t="s">
        <v>56</v>
      </c>
      <c r="AG758" s="9">
        <v>40891.0</v>
      </c>
      <c r="AH758" s="9">
        <v>40891.0</v>
      </c>
    </row>
    <row r="759">
      <c r="A759" s="6" t="str">
        <f>HYPERLINK("https://archive.ph/o/kCXAs/https://web-beta.archive.org/web/20130315140312/http://clopfic.heroku.com/fics/621", "A night with Twilight")</f>
        <v>A night with Twilight</v>
      </c>
      <c r="C759" s="7" t="s">
        <v>54</v>
      </c>
      <c r="E759" s="7" t="s">
        <v>44</v>
      </c>
      <c r="H759" s="8" t="s">
        <v>804</v>
      </c>
      <c r="I759" s="6" t="str">
        <f>HYPERLINK("https://archive.ph/o/kCXAs/https://web-beta.archive.org/web/20130315140312/http://clopfic.heroku.com/authors/280", "BDNFatlus")</f>
        <v>BDNFatlus</v>
      </c>
      <c r="J759" s="7" t="s">
        <v>39</v>
      </c>
      <c r="Z759" s="7" t="s">
        <v>40</v>
      </c>
      <c r="AF759" s="7" t="s">
        <v>41</v>
      </c>
      <c r="AG759" s="9">
        <v>40891.0</v>
      </c>
      <c r="AH759" s="9">
        <v>40891.0</v>
      </c>
    </row>
    <row r="760">
      <c r="A760" s="6" t="str">
        <f>HYPERLINK("https://archive.ph/o/kCXAs/https://web-beta.archive.org/web/20130315140312/http://clopfic.heroku.com/fics/613", "Whitest of Ponies")</f>
        <v>Whitest of Ponies</v>
      </c>
      <c r="C760" s="7" t="s">
        <v>54</v>
      </c>
      <c r="H760" s="8" t="s">
        <v>805</v>
      </c>
      <c r="I760" s="6" t="str">
        <f>HYPERLINK("https://archive.ph/o/kCXAs/https://web-beta.archive.org/web/20130315140312/http://clopfic.heroku.com/authors/253", "TAW")</f>
        <v>TAW</v>
      </c>
      <c r="N760" s="7" t="s">
        <v>47</v>
      </c>
      <c r="AG760" s="9">
        <v>40888.0</v>
      </c>
      <c r="AH760" s="9">
        <v>40891.0</v>
      </c>
    </row>
    <row r="761">
      <c r="A761" s="6" t="str">
        <f>HYPERLINK("https://archive.ph/o/kCXAs/https://web-beta.archive.org/web/20130315140312/http://clopfic.heroku.com/fics/615", "A Romantic Evening.")</f>
        <v>A Romantic Evening.</v>
      </c>
      <c r="E761" s="7" t="s">
        <v>44</v>
      </c>
      <c r="H761" s="8" t="s">
        <v>806</v>
      </c>
      <c r="I761" s="6" t="str">
        <f>HYPERLINK("https://archive.ph/o/kCXAs/https://web-beta.archive.org/web/20130315140312/http://clopfic.heroku.com/authors/255", "Anonybus")</f>
        <v>Anonybus</v>
      </c>
      <c r="Z761" s="7" t="s">
        <v>40</v>
      </c>
      <c r="AE761" s="7" t="s">
        <v>43</v>
      </c>
      <c r="AG761" s="9">
        <v>40889.0</v>
      </c>
      <c r="AH761" s="9">
        <v>40889.0</v>
      </c>
    </row>
    <row r="762">
      <c r="A762" s="6" t="str">
        <f>HYPERLINK("https://archive.ph/o/kCXAs/https://web-beta.archive.org/web/20130315140312/http://clopfic.heroku.com/fics/614", "Celestia's Ambrosia")</f>
        <v>Celestia's Ambrosia</v>
      </c>
      <c r="C762" s="7" t="s">
        <v>54</v>
      </c>
      <c r="D762" s="7" t="s">
        <v>37</v>
      </c>
      <c r="H762" s="8" t="s">
        <v>807</v>
      </c>
      <c r="I762" s="6" t="str">
        <f>HYPERLINK("https://archive.ph/o/kCXAs/https://web-beta.archive.org/web/20130315140312/http://clopfic.heroku.com/authors/104", "Soashamedpony")</f>
        <v>Soashamedpony</v>
      </c>
      <c r="P762" s="7" t="s">
        <v>64</v>
      </c>
      <c r="Z762" s="7" t="s">
        <v>40</v>
      </c>
      <c r="AF762" s="7" t="s">
        <v>41</v>
      </c>
      <c r="AG762" s="9">
        <v>40889.0</v>
      </c>
      <c r="AH762" s="9">
        <v>40889.0</v>
      </c>
    </row>
    <row r="763">
      <c r="A763" s="6" t="str">
        <f>HYPERLINK("https://archive.ph/o/kCXAs/https://web-beta.archive.org/web/20130315140312/http://clopfic.heroku.com/fics/612", "To Service and Protect")</f>
        <v>To Service and Protect</v>
      </c>
      <c r="C763" s="7" t="s">
        <v>54</v>
      </c>
      <c r="H763" s="8" t="s">
        <v>808</v>
      </c>
      <c r="I763" s="6" t="str">
        <f>HYPERLINK("https://archive.ph/o/kCXAs/https://web-beta.archive.org/web/20130315140312/http://clopfic.heroku.com/authors/1", "RagingSemi")</f>
        <v>RagingSemi</v>
      </c>
      <c r="Q763" s="7" t="s">
        <v>65</v>
      </c>
      <c r="Z763" s="7" t="s">
        <v>40</v>
      </c>
      <c r="AE763" s="7" t="s">
        <v>43</v>
      </c>
      <c r="AG763" s="9">
        <v>40888.0</v>
      </c>
      <c r="AH763" s="9">
        <v>40888.0</v>
      </c>
    </row>
    <row r="764">
      <c r="A764" s="6" t="str">
        <f>HYPERLINK("https://archive.ph/o/kCXAs/https://web-beta.archive.org/web/20130315140312/http://clopfic.heroku.com/fics/610", "Getting to Know Him")</f>
        <v>Getting to Know Him</v>
      </c>
      <c r="H764" s="8" t="s">
        <v>809</v>
      </c>
      <c r="I764" s="6" t="str">
        <f t="shared" ref="I764:I765" si="28">HYPERLINK("https://archive.ph/o/kCXAs/https://web-beta.archive.org/web/20130315140312/http://clopfic.heroku.com/authors/70", "SleeplessBrony")</f>
        <v>SleeplessBrony</v>
      </c>
      <c r="K764" s="7" t="s">
        <v>49</v>
      </c>
      <c r="M764" s="7" t="s">
        <v>56</v>
      </c>
      <c r="V764" s="7" t="s">
        <v>71</v>
      </c>
      <c r="AG764" s="9">
        <v>40888.0</v>
      </c>
      <c r="AH764" s="9">
        <v>40888.0</v>
      </c>
    </row>
    <row r="765">
      <c r="A765" s="6" t="str">
        <f>HYPERLINK("https://archive.ph/o/kCXAs/https://web-beta.archive.org/web/20130315140312/http://clopfic.heroku.com/fics/611", "Need")</f>
        <v>Need</v>
      </c>
      <c r="B765" s="7" t="s">
        <v>36</v>
      </c>
      <c r="E765" s="7" t="s">
        <v>44</v>
      </c>
      <c r="H765" s="8" t="s">
        <v>810</v>
      </c>
      <c r="I765" s="6" t="str">
        <f t="shared" si="28"/>
        <v>SleeplessBrony</v>
      </c>
      <c r="V765" s="7" t="s">
        <v>71</v>
      </c>
      <c r="Z765" s="7" t="s">
        <v>40</v>
      </c>
      <c r="AD765" s="7" t="s">
        <v>111</v>
      </c>
      <c r="AG765" s="9">
        <v>40888.0</v>
      </c>
      <c r="AH765" s="9">
        <v>40888.0</v>
      </c>
    </row>
    <row r="766">
      <c r="A766" s="6" t="str">
        <f>HYPERLINK("https://archive.ph/o/kCXAs/https://web-beta.archive.org/web/20130315140312/http://clopfic.heroku.com/fics/609", "A date with a pink pony")</f>
        <v>A date with a pink pony</v>
      </c>
      <c r="C766" s="7" t="s">
        <v>54</v>
      </c>
      <c r="E766" s="7" t="s">
        <v>44</v>
      </c>
      <c r="H766" s="8" t="s">
        <v>811</v>
      </c>
      <c r="I766" s="6" t="str">
        <f t="shared" ref="I766:I767" si="29">HYPERLINK("https://archive.ph/o/kCXAs/https://web-beta.archive.org/web/20130315140312/http://clopfic.heroku.com/authors/253", "TAW")</f>
        <v>TAW</v>
      </c>
      <c r="K766" s="7" t="s">
        <v>49</v>
      </c>
      <c r="AG766" s="9">
        <v>40887.0</v>
      </c>
      <c r="AH766" s="9">
        <v>40887.0</v>
      </c>
    </row>
    <row r="767">
      <c r="A767" s="6" t="str">
        <f>HYPERLINK("https://archive.ph/o/kCXAs/https://web-beta.archive.org/web/20130315140312/http://clopfic.heroku.com/fics/608", "Twilight's Second Slumber Party")</f>
        <v>Twilight's Second Slumber Party</v>
      </c>
      <c r="C767" s="7" t="s">
        <v>54</v>
      </c>
      <c r="E767" s="7" t="s">
        <v>44</v>
      </c>
      <c r="H767" s="8" t="s">
        <v>812</v>
      </c>
      <c r="I767" s="6" t="str">
        <f t="shared" si="29"/>
        <v>TAW</v>
      </c>
      <c r="J767" s="7" t="s">
        <v>39</v>
      </c>
      <c r="Z767" s="7" t="s">
        <v>40</v>
      </c>
      <c r="AF767" s="7" t="s">
        <v>41</v>
      </c>
      <c r="AG767" s="9">
        <v>40887.0</v>
      </c>
      <c r="AH767" s="9">
        <v>40887.0</v>
      </c>
    </row>
    <row r="768">
      <c r="A768" s="6" t="str">
        <f>HYPERLINK("https://archive.ph/o/kCXAs/https://web-beta.archive.org/web/20130315140312/http://clopfic.heroku.com/fics/607", "Secret Desire")</f>
        <v>Secret Desire</v>
      </c>
      <c r="H768" s="8" t="s">
        <v>813</v>
      </c>
      <c r="I768" s="6" t="str">
        <f>HYPERLINK("https://archive.ph/o/kCXAs/https://web-beta.archive.org/web/20130315140312/http://clopfic.heroku.com/authors/252", "Riku Michaels")</f>
        <v>Riku Michaels</v>
      </c>
      <c r="J768" s="7" t="s">
        <v>39</v>
      </c>
      <c r="K768" s="7" t="s">
        <v>49</v>
      </c>
      <c r="L768" s="7" t="s">
        <v>62</v>
      </c>
      <c r="M768" s="7" t="s">
        <v>56</v>
      </c>
      <c r="N768" s="7" t="s">
        <v>47</v>
      </c>
      <c r="O768" s="7" t="s">
        <v>51</v>
      </c>
      <c r="P768" s="7" t="s">
        <v>64</v>
      </c>
      <c r="AG768" s="9">
        <v>40887.0</v>
      </c>
      <c r="AH768" s="9">
        <v>40887.0</v>
      </c>
    </row>
    <row r="769">
      <c r="A769" s="6" t="str">
        <f>HYPERLINK("https://archive.ph/o/kCXAs/https://web-beta.archive.org/web/20130315140312/http://clopfic.heroku.com/fics/604", "The first day of winter")</f>
        <v>The first day of winter</v>
      </c>
      <c r="C769" s="7" t="s">
        <v>54</v>
      </c>
      <c r="E769" s="7" t="s">
        <v>44</v>
      </c>
      <c r="H769" s="8" t="s">
        <v>814</v>
      </c>
      <c r="I769" s="6" t="str">
        <f>HYPERLINK("https://archive.ph/o/kCXAs/https://web-beta.archive.org/web/20130315140312/http://clopfic.heroku.com/authors/253", "TAW")</f>
        <v>TAW</v>
      </c>
      <c r="L769" s="7" t="s">
        <v>62</v>
      </c>
      <c r="AG769" s="9">
        <v>40886.0</v>
      </c>
      <c r="AH769" s="9">
        <v>40886.0</v>
      </c>
    </row>
    <row r="770">
      <c r="A770" s="6" t="str">
        <f>HYPERLINK("https://archive.ph/o/kCXAs/https://web-beta.archive.org/web/20130315140312/http://clopfic.heroku.com/fics/603", "Enchanted Twilight")</f>
        <v>Enchanted Twilight</v>
      </c>
      <c r="D770" s="7" t="s">
        <v>37</v>
      </c>
      <c r="H770" s="8" t="s">
        <v>815</v>
      </c>
      <c r="I770" s="6" t="str">
        <f>HYPERLINK("https://archive.ph/o/kCXAs/https://web-beta.archive.org/web/20130315140312/http://clopfic.heroku.com/authors/250", "ryanrabbat")</f>
        <v>ryanrabbat</v>
      </c>
      <c r="J770" s="7" t="s">
        <v>39</v>
      </c>
      <c r="W770" s="7" t="s">
        <v>69</v>
      </c>
      <c r="Z770" s="7" t="s">
        <v>40</v>
      </c>
      <c r="AF770" s="7" t="s">
        <v>41</v>
      </c>
      <c r="AG770" s="9">
        <v>40886.0</v>
      </c>
      <c r="AH770" s="9">
        <v>40886.0</v>
      </c>
    </row>
    <row r="771">
      <c r="A771" s="6" t="str">
        <f>HYPERLINK("https://archive.ph/o/kCXAs/https://web-beta.archive.org/web/20130315140312/http://clopfic.heroku.com/fics/602", "Sonic Raingasm")</f>
        <v>Sonic Raingasm</v>
      </c>
      <c r="H771" s="8" t="s">
        <v>816</v>
      </c>
      <c r="I771" s="6" t="str">
        <f>HYPERLINK("https://archive.ph/o/kCXAs/https://web-beta.archive.org/web/20130315140312/http://clopfic.heroku.com/authors/247", "One Terrible Writer")</f>
        <v>One Terrible Writer</v>
      </c>
      <c r="J771" s="7" t="s">
        <v>39</v>
      </c>
      <c r="K771" s="7" t="s">
        <v>49</v>
      </c>
      <c r="L771" s="7" t="s">
        <v>62</v>
      </c>
      <c r="M771" s="7" t="s">
        <v>56</v>
      </c>
      <c r="N771" s="7" t="s">
        <v>47</v>
      </c>
      <c r="O771" s="7" t="s">
        <v>51</v>
      </c>
      <c r="Y771" s="7" t="s">
        <v>184</v>
      </c>
      <c r="AG771" s="9">
        <v>40885.0</v>
      </c>
      <c r="AH771" s="9">
        <v>40885.0</v>
      </c>
    </row>
    <row r="772">
      <c r="A772" s="6" t="str">
        <f>HYPERLINK("https://archive.ph/o/kCXAs/https://web-beta.archive.org/web/20130315140312/http://clopfic.heroku.com/fics/601", "The Element of Love")</f>
        <v>The Element of Love</v>
      </c>
      <c r="E772" s="7" t="s">
        <v>44</v>
      </c>
      <c r="H772" s="8" t="s">
        <v>817</v>
      </c>
      <c r="I772" s="6" t="str">
        <f>HYPERLINK("https://archive.ph/o/kCXAs/https://web-beta.archive.org/web/20130315140312/http://clopfic.heroku.com/authors/249", "Dashydra")</f>
        <v>Dashydra</v>
      </c>
      <c r="J772" s="7" t="s">
        <v>39</v>
      </c>
      <c r="O772" s="7" t="s">
        <v>51</v>
      </c>
      <c r="R772" s="7" t="s">
        <v>66</v>
      </c>
      <c r="AG772" s="9">
        <v>40885.0</v>
      </c>
      <c r="AH772" s="9">
        <v>40885.0</v>
      </c>
    </row>
    <row r="773">
      <c r="A773" s="6" t="str">
        <f>HYPERLINK("https://archive.ph/o/kCXAs/https://web-beta.archive.org/web/20130315140312/http://clopfic.heroku.com/fics/600", "The Farmer and the Dressmaker")</f>
        <v>The Farmer and the Dressmaker</v>
      </c>
      <c r="E773" s="7" t="s">
        <v>44</v>
      </c>
      <c r="H773" s="8" t="s">
        <v>818</v>
      </c>
      <c r="I773" s="6" t="str">
        <f>HYPERLINK("https://archive.ph/o/kCXAs/https://web-beta.archive.org/web/20130315140312/http://clopfic.heroku.com/authors/248", "MightyQuinn2021")</f>
        <v>MightyQuinn2021</v>
      </c>
      <c r="N773" s="7" t="s">
        <v>47</v>
      </c>
      <c r="V773" s="7" t="s">
        <v>71</v>
      </c>
      <c r="AG773" s="9">
        <v>40885.0</v>
      </c>
      <c r="AH773" s="9">
        <v>40885.0</v>
      </c>
    </row>
    <row r="774">
      <c r="A774" s="6" t="str">
        <f>HYPERLINK("https://archive.ph/o/kCXAs/https://web-beta.archive.org/web/20130315140312/http://clopfic.heroku.com/fics/599", "Date with a Princess")</f>
        <v>Date with a Princess</v>
      </c>
      <c r="C774" s="7" t="s">
        <v>54</v>
      </c>
      <c r="E774" s="7" t="s">
        <v>44</v>
      </c>
      <c r="H774" s="8" t="s">
        <v>819</v>
      </c>
      <c r="I774" s="6" t="str">
        <f>HYPERLINK("https://archive.ph/o/kCXAs/https://web-beta.archive.org/web/20130315140312/http://clopfic.heroku.com/authors/80", "Hotsauce")</f>
        <v>Hotsauce</v>
      </c>
      <c r="P774" s="7" t="s">
        <v>64</v>
      </c>
      <c r="AG774" s="9">
        <v>40885.0</v>
      </c>
      <c r="AH774" s="9">
        <v>40885.0</v>
      </c>
    </row>
    <row r="775">
      <c r="A775" s="6" t="str">
        <f>HYPERLINK("https://archive.ph/o/kCXAs/https://web-beta.archive.org/web/20130315140312/http://clopfic.heroku.com/fics/597", "Twist.")</f>
        <v>Twist.</v>
      </c>
      <c r="C775" s="7" t="s">
        <v>54</v>
      </c>
      <c r="H775" s="8" t="s">
        <v>820</v>
      </c>
      <c r="I775" s="6" t="str">
        <f>HYPERLINK("https://archive.ph/o/kCXAs/https://web-beta.archive.org/web/20130315140312/http://clopfic.heroku.com/authors/135", "yawg07")</f>
        <v>yawg07</v>
      </c>
      <c r="Z775" s="7" t="s">
        <v>40</v>
      </c>
      <c r="AE775" s="7" t="s">
        <v>43</v>
      </c>
      <c r="AG775" s="9">
        <v>40884.0</v>
      </c>
      <c r="AH775" s="9">
        <v>40884.0</v>
      </c>
    </row>
    <row r="776">
      <c r="A776" s="6" t="str">
        <f>HYPERLINK("https://archive.ph/o/kCXAs/https://web-beta.archive.org/web/20130315140312/http://clopfic.heroku.com/fics/596", "Luna's Safe Word")</f>
        <v>Luna's Safe Word</v>
      </c>
      <c r="D776" s="7" t="s">
        <v>37</v>
      </c>
      <c r="H776" s="8" t="s">
        <v>821</v>
      </c>
      <c r="I776" s="6" t="str">
        <f>HYPERLINK("https://archive.ph/o/kCXAs/https://web-beta.archive.org/web/20130315140312/http://clopfic.heroku.com/authors/247", "One Terrible Writer")</f>
        <v>One Terrible Writer</v>
      </c>
      <c r="Q776" s="7" t="s">
        <v>65</v>
      </c>
      <c r="AF776" s="7" t="s">
        <v>41</v>
      </c>
      <c r="AG776" s="9">
        <v>40883.0</v>
      </c>
      <c r="AH776" s="9">
        <v>40883.0</v>
      </c>
    </row>
    <row r="777">
      <c r="A777" s="6" t="str">
        <f>HYPERLINK("https://archive.ph/o/kCXAs/https://web-beta.archive.org/web/20130315140312/http://clopfic.heroku.com/fics/593", "Trixie's Night In")</f>
        <v>Trixie's Night In</v>
      </c>
      <c r="D777" s="7" t="s">
        <v>37</v>
      </c>
      <c r="E777" s="7" t="s">
        <v>44</v>
      </c>
      <c r="H777" s="8" t="s">
        <v>822</v>
      </c>
      <c r="I777" s="6" t="str">
        <f>HYPERLINK("https://archive.ph/o/kCXAs/https://web-beta.archive.org/web/20130315140312/http://clopfic.heroku.com/authors/244", "Kaloyan-Alett")</f>
        <v>Kaloyan-Alett</v>
      </c>
      <c r="J777" s="7" t="s">
        <v>39</v>
      </c>
      <c r="W777" s="7" t="s">
        <v>69</v>
      </c>
      <c r="AG777" s="9">
        <v>40882.0</v>
      </c>
      <c r="AH777" s="9">
        <v>40882.0</v>
      </c>
    </row>
    <row r="778">
      <c r="A778" s="6" t="str">
        <f>HYPERLINK("https://archive.ph/o/kCXAs/https://web-beta.archive.org/web/20130315140312/http://clopfic.heroku.com/fics/592", "Civic Booties")</f>
        <v>Civic Booties</v>
      </c>
      <c r="C778" s="7" t="s">
        <v>54</v>
      </c>
      <c r="D778" s="7" t="s">
        <v>37</v>
      </c>
      <c r="H778" s="8" t="s">
        <v>823</v>
      </c>
      <c r="I778" s="6" t="str">
        <f>HYPERLINK("https://archive.ph/o/kCXAs/https://web-beta.archive.org/web/20130315140312/http://clopfic.heroku.com/authors/1", "RagingSemi")</f>
        <v>RagingSemi</v>
      </c>
      <c r="O778" s="7" t="s">
        <v>51</v>
      </c>
      <c r="Z778" s="7" t="s">
        <v>40</v>
      </c>
      <c r="AE778" s="7" t="s">
        <v>43</v>
      </c>
      <c r="AG778" s="9">
        <v>40882.0</v>
      </c>
      <c r="AH778" s="9">
        <v>40882.0</v>
      </c>
    </row>
    <row r="779">
      <c r="A779" s="6" t="str">
        <f>HYPERLINK("https://archive.ph/o/kCXAs/https://web-beta.archive.org/web/20130315140312/http://clopfic.heroku.com/fics/591", "Love During the Rain")</f>
        <v>Love During the Rain</v>
      </c>
      <c r="C779" s="7" t="s">
        <v>54</v>
      </c>
      <c r="E779" s="7" t="s">
        <v>44</v>
      </c>
      <c r="H779" s="8" t="s">
        <v>824</v>
      </c>
      <c r="I779" s="6" t="str">
        <f t="shared" ref="I779:I780" si="30">HYPERLINK("https://archive.ph/o/kCXAs/https://web-beta.archive.org/web/20130315140312/http://clopfic.heroku.com/authors/83", "Roy G. Biv")</f>
        <v>Roy G. Biv</v>
      </c>
      <c r="Z779" s="7" t="s">
        <v>40</v>
      </c>
      <c r="AE779" s="7" t="s">
        <v>43</v>
      </c>
      <c r="AG779" s="9">
        <v>40881.0</v>
      </c>
      <c r="AH779" s="9">
        <v>40881.0</v>
      </c>
    </row>
    <row r="780">
      <c r="A780" s="6" t="str">
        <f>HYPERLINK("https://archive.ph/o/kCXAs/https://web-beta.archive.org/web/20130315140312/http://clopfic.heroku.com/fics/590", "Derpy's Lover")</f>
        <v>Derpy's Lover</v>
      </c>
      <c r="G780" s="7" t="s">
        <v>75</v>
      </c>
      <c r="H780" s="8" t="s">
        <v>825</v>
      </c>
      <c r="I780" s="6" t="str">
        <f t="shared" si="30"/>
        <v>Roy G. Biv</v>
      </c>
      <c r="J780" s="7" t="s">
        <v>39</v>
      </c>
      <c r="Z780" s="7" t="s">
        <v>40</v>
      </c>
      <c r="AA780" s="7" t="s">
        <v>113</v>
      </c>
      <c r="AG780" s="9">
        <v>40881.0</v>
      </c>
      <c r="AH780" s="9">
        <v>40881.0</v>
      </c>
    </row>
    <row r="781">
      <c r="A781" s="6" t="str">
        <f>HYPERLINK("https://archive.ph/o/kCXAs/https://web-beta.archive.org/web/20130315140312/http://clopfic.heroku.com/fics/589", "Twilight's Revenge")</f>
        <v>Twilight's Revenge</v>
      </c>
      <c r="B781" s="7" t="s">
        <v>36</v>
      </c>
      <c r="D781" s="7" t="s">
        <v>37</v>
      </c>
      <c r="H781" s="8" t="s">
        <v>826</v>
      </c>
      <c r="I781" s="6" t="str">
        <f>HYPERLINK("https://archive.ph/o/kCXAs/https://web-beta.archive.org/web/20130315140312/http://clopfic.heroku.com/authors/68", "DarkJester")</f>
        <v>DarkJester</v>
      </c>
      <c r="J781" s="7" t="s">
        <v>39</v>
      </c>
      <c r="W781" s="7" t="s">
        <v>69</v>
      </c>
      <c r="AG781" s="9">
        <v>40881.0</v>
      </c>
      <c r="AH781" s="9">
        <v>40881.0</v>
      </c>
    </row>
    <row r="782">
      <c r="A782" s="6" t="str">
        <f>HYPERLINK("https://archive.ph/o/kCXAs/https://web-beta.archive.org/web/20130315140312/http://clopfic.heroku.com/fics/588", "Parasailing")</f>
        <v>Parasailing</v>
      </c>
      <c r="D782" s="7" t="s">
        <v>37</v>
      </c>
      <c r="H782" s="8" t="s">
        <v>827</v>
      </c>
      <c r="I782" s="6" t="str">
        <f>HYPERLINK("https://archive.ph/o/kCXAs/https://web-beta.archive.org/web/20130315140312/http://clopfic.heroku.com/authors/378", "Shivered Timbers")</f>
        <v>Shivered Timbers</v>
      </c>
      <c r="J782" s="7" t="s">
        <v>39</v>
      </c>
      <c r="K782" s="7" t="s">
        <v>49</v>
      </c>
      <c r="L782" s="7" t="s">
        <v>62</v>
      </c>
      <c r="M782" s="7" t="s">
        <v>56</v>
      </c>
      <c r="N782" s="7" t="s">
        <v>47</v>
      </c>
      <c r="O782" s="7" t="s">
        <v>51</v>
      </c>
      <c r="R782" s="7" t="s">
        <v>66</v>
      </c>
      <c r="AG782" s="9">
        <v>40880.0</v>
      </c>
      <c r="AH782" s="9">
        <v>40880.0</v>
      </c>
    </row>
    <row r="783">
      <c r="A783" s="6" t="str">
        <f>HYPERLINK("https://archive.ph/o/kCXAs/https://web-beta.archive.org/web/20130315140312/http://clopfic.heroku.com/fics/587", "Masked Fantasies")</f>
        <v>Masked Fantasies</v>
      </c>
      <c r="C783" s="7" t="s">
        <v>54</v>
      </c>
      <c r="H783" s="8" t="s">
        <v>828</v>
      </c>
      <c r="I783" s="6" t="str">
        <f>HYPERLINK("https://archive.ph/o/kCXAs/https://web-beta.archive.org/web/20130315140312/http://clopfic.heroku.com/authors/181", "Wenseph")</f>
        <v>Wenseph</v>
      </c>
      <c r="L783" s="7" t="s">
        <v>62</v>
      </c>
      <c r="N783" s="7" t="s">
        <v>47</v>
      </c>
      <c r="V783" s="7" t="s">
        <v>71</v>
      </c>
      <c r="AG783" s="9">
        <v>40880.0</v>
      </c>
      <c r="AH783" s="9">
        <v>40880.0</v>
      </c>
    </row>
    <row r="784">
      <c r="A784" s="6" t="str">
        <f>HYPERLINK("https://archive.ph/o/kCXAs/https://web-beta.archive.org/web/20130315140312/http://clopfic.heroku.com/fics/586", "An Apple for a Diamond")</f>
        <v>An Apple for a Diamond</v>
      </c>
      <c r="E784" s="7" t="s">
        <v>44</v>
      </c>
      <c r="H784" s="8" t="s">
        <v>829</v>
      </c>
      <c r="I784" s="6" t="str">
        <f>HYPERLINK("https://archive.ph/o/kCXAs/https://web-beta.archive.org/web/20130315140312/http://clopfic.heroku.com/authors/88", "Deathsia")</f>
        <v>Deathsia</v>
      </c>
      <c r="J784" s="7" t="s">
        <v>39</v>
      </c>
      <c r="K784" s="7" t="s">
        <v>49</v>
      </c>
      <c r="L784" s="7" t="s">
        <v>62</v>
      </c>
      <c r="M784" s="7" t="s">
        <v>56</v>
      </c>
      <c r="N784" s="7" t="s">
        <v>47</v>
      </c>
      <c r="O784" s="7" t="s">
        <v>51</v>
      </c>
      <c r="R784" s="7" t="s">
        <v>66</v>
      </c>
      <c r="V784" s="7" t="s">
        <v>71</v>
      </c>
      <c r="AG784" s="9">
        <v>40880.0</v>
      </c>
      <c r="AH784" s="9">
        <v>40880.0</v>
      </c>
    </row>
    <row r="785">
      <c r="A785" s="6" t="str">
        <f>HYPERLINK("https://archive.ph/o/kCXAs/https://web-beta.archive.org/web/20130315140312/http://clopfic.heroku.com/fics/252", "The Rainbow Effect")</f>
        <v>The Rainbow Effect</v>
      </c>
      <c r="E785" s="7" t="s">
        <v>44</v>
      </c>
      <c r="G785" s="7" t="s">
        <v>75</v>
      </c>
      <c r="H785" s="8" t="s">
        <v>830</v>
      </c>
      <c r="I785" s="6" t="str">
        <f>HYPERLINK("https://archive.ph/o/kCXAs/https://web-beta.archive.org/web/20130315140312/http://clopfic.heroku.com/authors/82", "Aquarian Poet")</f>
        <v>Aquarian Poet</v>
      </c>
      <c r="K785" s="7" t="s">
        <v>49</v>
      </c>
      <c r="L785" s="7" t="s">
        <v>62</v>
      </c>
      <c r="M785" s="7" t="s">
        <v>56</v>
      </c>
      <c r="N785" s="7" t="s">
        <v>47</v>
      </c>
      <c r="O785" s="7" t="s">
        <v>51</v>
      </c>
      <c r="Z785" s="7" t="s">
        <v>40</v>
      </c>
      <c r="AE785" s="7" t="s">
        <v>43</v>
      </c>
      <c r="AG785" s="9">
        <v>40748.0</v>
      </c>
      <c r="AH785" s="9">
        <v>40878.0</v>
      </c>
    </row>
    <row r="786">
      <c r="A786" s="6" t="str">
        <f>HYPERLINK("https://archive.ph/o/kCXAs/https://web-beta.archive.org/web/20130315140312/http://clopfic.heroku.com/fics/584", "My Big Zebra: Growth is Magic")</f>
        <v>My Big Zebra: Growth is Magic</v>
      </c>
      <c r="D786" s="7" t="s">
        <v>37</v>
      </c>
      <c r="H786" s="8" t="s">
        <v>831</v>
      </c>
      <c r="I786" s="6" t="str">
        <f>HYPERLINK("https://archive.ph/o/kCXAs/https://web-beta.archive.org/web/20130315140312/http://clopfic.heroku.com/authors/235", "Nostalgia Schmaltz")</f>
        <v>Nostalgia Schmaltz</v>
      </c>
      <c r="J786" s="7" t="s">
        <v>39</v>
      </c>
      <c r="K786" s="7" t="s">
        <v>49</v>
      </c>
      <c r="L786" s="7" t="s">
        <v>62</v>
      </c>
      <c r="P786" s="7" t="s">
        <v>64</v>
      </c>
      <c r="Q786" s="7" t="s">
        <v>65</v>
      </c>
      <c r="X786" s="7" t="s">
        <v>107</v>
      </c>
      <c r="AG786" s="9">
        <v>40877.0</v>
      </c>
      <c r="AH786" s="9">
        <v>40877.0</v>
      </c>
    </row>
    <row r="787">
      <c r="A787" s="6" t="str">
        <f>HYPERLINK("https://archive.ph/o/kCXAs/https://web-beta.archive.org/web/20130315140312/http://clopfic.heroku.com/fics/581", "Look Before You Sleep With")</f>
        <v>Look Before You Sleep With</v>
      </c>
      <c r="C787" s="7" t="s">
        <v>54</v>
      </c>
      <c r="H787" s="8" t="s">
        <v>832</v>
      </c>
      <c r="I787" s="6" t="str">
        <f>HYPERLINK("https://archive.ph/o/kCXAs/https://web-beta.archive.org/web/20130315140312/http://clopfic.heroku.com/authors/463", "RedSavant")</f>
        <v>RedSavant</v>
      </c>
      <c r="J787" s="7" t="s">
        <v>39</v>
      </c>
      <c r="L787" s="7" t="s">
        <v>62</v>
      </c>
      <c r="N787" s="7" t="s">
        <v>47</v>
      </c>
      <c r="AG787" s="9">
        <v>40876.0</v>
      </c>
      <c r="AH787" s="9">
        <v>40876.0</v>
      </c>
    </row>
    <row r="788">
      <c r="A788" s="6" t="str">
        <f>HYPERLINK("https://archive.ph/o/kCXAs/https://web-beta.archive.org/web/20130315140312/http://clopfic.heroku.com/fics/460", "When the Apple Bloomed")</f>
        <v>When the Apple Bloomed</v>
      </c>
      <c r="D788" s="7" t="s">
        <v>37</v>
      </c>
      <c r="E788" s="7" t="s">
        <v>44</v>
      </c>
      <c r="H788" s="8" t="s">
        <v>833</v>
      </c>
      <c r="I788" s="6" t="str">
        <f>HYPERLINK("https://archive.ph/o/kCXAs/https://web-beta.archive.org/web/20130315140312/http://clopfic.heroku.com/authors/153", "Leonberg")</f>
        <v>Leonberg</v>
      </c>
      <c r="K788" s="7" t="s">
        <v>49</v>
      </c>
      <c r="Q788" s="7" t="s">
        <v>65</v>
      </c>
      <c r="R788" s="7" t="s">
        <v>66</v>
      </c>
      <c r="S788" s="7" t="s">
        <v>68</v>
      </c>
      <c r="V788" s="7" t="s">
        <v>71</v>
      </c>
      <c r="Z788" s="7" t="s">
        <v>40</v>
      </c>
      <c r="AA788" s="7" t="s">
        <v>113</v>
      </c>
      <c r="AG788" s="9">
        <v>40790.0</v>
      </c>
      <c r="AH788" s="9">
        <v>40875.0</v>
      </c>
    </row>
    <row r="789">
      <c r="A789" s="6" t="str">
        <f>HYPERLINK("https://archive.ph/o/kCXAs/https://web-beta.archive.org/web/20130315140312/http://clopfic.heroku.com/fics/579", "So Much for Studying")</f>
        <v>So Much for Studying</v>
      </c>
      <c r="H789" s="8" t="s">
        <v>834</v>
      </c>
      <c r="I789" s="6" t="str">
        <f>HYPERLINK("https://archive.ph/o/kCXAs/https://web-beta.archive.org/web/20130315140312/http://clopfic.heroku.com/authors/239", "antimilk")</f>
        <v>antimilk</v>
      </c>
      <c r="J789" s="7" t="s">
        <v>39</v>
      </c>
      <c r="K789" s="7" t="s">
        <v>49</v>
      </c>
      <c r="R789" s="7" t="s">
        <v>66</v>
      </c>
      <c r="AG789" s="9">
        <v>40875.0</v>
      </c>
      <c r="AH789" s="9">
        <v>40875.0</v>
      </c>
    </row>
    <row r="790">
      <c r="A790" s="6" t="str">
        <f>HYPERLINK("https://archive.ph/o/kCXAs/https://web-beta.archive.org/web/20130315140312/http://clopfic.heroku.com/fics/578", "Poking In")</f>
        <v>Poking In</v>
      </c>
      <c r="C790" s="7" t="s">
        <v>54</v>
      </c>
      <c r="G790" s="7" t="s">
        <v>75</v>
      </c>
      <c r="H790" s="8" t="s">
        <v>835</v>
      </c>
      <c r="I790" s="6" t="str">
        <f>HYPERLINK("https://archive.ph/o/kCXAs/https://web-beta.archive.org/web/20130315140312/http://clopfic.heroku.com/authors/238", "NK_6060")</f>
        <v>NK_6060</v>
      </c>
      <c r="AE790" s="7" t="s">
        <v>43</v>
      </c>
      <c r="AG790" s="9">
        <v>40874.0</v>
      </c>
      <c r="AH790" s="9">
        <v>40874.0</v>
      </c>
    </row>
    <row r="791">
      <c r="A791" s="6" t="str">
        <f>HYPERLINK("https://archive.ph/o/kCXAs/https://web-beta.archive.org/web/20130315140312/http://clopfic.heroku.com/fics/560", "Scootaloo's Penis Adventure")</f>
        <v>Scootaloo's Penis Adventure</v>
      </c>
      <c r="D791" s="7" t="s">
        <v>37</v>
      </c>
      <c r="H791" s="8" t="s">
        <v>836</v>
      </c>
      <c r="I791" s="6" t="str">
        <f>HYPERLINK("https://archive.ph/o/kCXAs/https://web-beta.archive.org/web/20130315140312/http://clopfic.heroku.com/authors/227", "Turntables and Ted")</f>
        <v>Turntables and Ted</v>
      </c>
      <c r="J791" s="7" t="s">
        <v>39</v>
      </c>
      <c r="R791" s="7" t="s">
        <v>66</v>
      </c>
      <c r="S791" s="7" t="s">
        <v>68</v>
      </c>
      <c r="T791" s="7" t="s">
        <v>59</v>
      </c>
      <c r="U791" s="7" t="s">
        <v>60</v>
      </c>
      <c r="Z791" s="7" t="s">
        <v>40</v>
      </c>
      <c r="AB791" s="7" t="s">
        <v>101</v>
      </c>
      <c r="AC791" s="7" t="s">
        <v>102</v>
      </c>
      <c r="AD791" s="7" t="s">
        <v>111</v>
      </c>
      <c r="AG791" s="9">
        <v>40858.0</v>
      </c>
      <c r="AH791" s="9">
        <v>40874.0</v>
      </c>
    </row>
    <row r="792">
      <c r="A792" s="6" t="str">
        <f>HYPERLINK("https://archive.ph/o/kCXAs/https://web-beta.archive.org/web/20130315140312/http://clopfic.heroku.com/fics/267", "Spike's Ambition")</f>
        <v>Spike's Ambition</v>
      </c>
      <c r="E792" s="7" t="s">
        <v>44</v>
      </c>
      <c r="H792" s="8" t="s">
        <v>837</v>
      </c>
      <c r="I792" s="6" t="str">
        <f>HYPERLINK("https://archive.ph/o/kCXAs/https://web-beta.archive.org/web/20130315140312/http://clopfic.heroku.com/authors/88", "Deathsia")</f>
        <v>Deathsia</v>
      </c>
      <c r="J792" s="7" t="s">
        <v>39</v>
      </c>
      <c r="K792" s="7" t="s">
        <v>49</v>
      </c>
      <c r="L792" s="7" t="s">
        <v>62</v>
      </c>
      <c r="M792" s="7" t="s">
        <v>56</v>
      </c>
      <c r="N792" s="7" t="s">
        <v>47</v>
      </c>
      <c r="O792" s="7" t="s">
        <v>51</v>
      </c>
      <c r="R792" s="7" t="s">
        <v>66</v>
      </c>
      <c r="AG792" s="9">
        <v>40728.0</v>
      </c>
      <c r="AH792" s="9">
        <v>40874.0</v>
      </c>
    </row>
    <row r="793">
      <c r="A793" s="6" t="str">
        <f>HYPERLINK("https://archive.ph/o/kCXAs/https://web-beta.archive.org/web/20130315140312/http://clopfic.heroku.com/fics/577", "Clopping Police: Busting the Panty-Snatching Bedwetter ")</f>
        <v>Clopping Police: Busting the Panty-Snatching Bedwetter </v>
      </c>
      <c r="D793" s="7" t="s">
        <v>37</v>
      </c>
      <c r="F793" s="7" t="s">
        <v>52</v>
      </c>
      <c r="H793" s="8" t="s">
        <v>838</v>
      </c>
      <c r="I793" s="6" t="str">
        <f>HYPERLINK("https://archive.ph/o/kCXAs/https://web-beta.archive.org/web/20130315140312/http://clopfic.heroku.com/authors/237", "HighLevelTeen")</f>
        <v>HighLevelTeen</v>
      </c>
      <c r="K793" s="7" t="s">
        <v>49</v>
      </c>
      <c r="L793" s="7" t="s">
        <v>62</v>
      </c>
      <c r="M793" s="7" t="s">
        <v>56</v>
      </c>
      <c r="AG793" s="9">
        <v>40873.0</v>
      </c>
      <c r="AH793" s="9">
        <v>40873.0</v>
      </c>
    </row>
    <row r="794">
      <c r="A794" s="6" t="str">
        <f>HYPERLINK("https://archive.ph/o/kCXAs/https://web-beta.archive.org/web/20130315140312/http://clopfic.heroku.com/fics/576", "Where a Mind Roams")</f>
        <v>Where a Mind Roams</v>
      </c>
      <c r="E794" s="7" t="s">
        <v>44</v>
      </c>
      <c r="H794" s="8" t="s">
        <v>839</v>
      </c>
      <c r="I794" s="6" t="str">
        <f>HYPERLINK("https://archive.ph/o/kCXAs/https://web-beta.archive.org/web/20130315140312/http://clopfic.heroku.com/authors/112", "VelvetHeart")</f>
        <v>VelvetHeart</v>
      </c>
      <c r="J794" s="7" t="s">
        <v>39</v>
      </c>
      <c r="P794" s="7" t="s">
        <v>64</v>
      </c>
      <c r="AG794" s="9">
        <v>40872.0</v>
      </c>
      <c r="AH794" s="9">
        <v>40872.0</v>
      </c>
    </row>
    <row r="795">
      <c r="A795" s="6" t="str">
        <f>HYPERLINK("https://archive.ph/o/kCXAs/https://web-beta.archive.org/web/20130315140312/http://clopfic.heroku.com/fics/575", "An Unexpected Intrusion")</f>
        <v>An Unexpected Intrusion</v>
      </c>
      <c r="B795" s="7" t="s">
        <v>36</v>
      </c>
      <c r="D795" s="7" t="s">
        <v>37</v>
      </c>
      <c r="H795" s="8" t="s">
        <v>840</v>
      </c>
      <c r="I795" s="6" t="str">
        <f>HYPERLINK("https://archive.ph/o/kCXAs/https://web-beta.archive.org/web/20130315140312/http://clopfic.heroku.com/authors/236", "Pokemaster1993")</f>
        <v>Pokemaster1993</v>
      </c>
      <c r="J795" s="7" t="s">
        <v>39</v>
      </c>
      <c r="K795" s="7" t="s">
        <v>49</v>
      </c>
      <c r="O795" s="7" t="s">
        <v>51</v>
      </c>
      <c r="AG795" s="9">
        <v>40872.0</v>
      </c>
      <c r="AH795" s="9">
        <v>40872.0</v>
      </c>
    </row>
    <row r="796">
      <c r="A796" s="6" t="str">
        <f>HYPERLINK("https://archive.ph/o/kCXAs/https://web-beta.archive.org/web/20130315140312/http://clopfic.heroku.com/fics/572", "My Big Ponies: Growth is Magic")</f>
        <v>My Big Ponies: Growth is Magic</v>
      </c>
      <c r="D796" s="7" t="s">
        <v>37</v>
      </c>
      <c r="H796" s="8" t="s">
        <v>841</v>
      </c>
      <c r="I796" s="6" t="str">
        <f>HYPERLINK("https://archive.ph/o/kCXAs/https://web-beta.archive.org/web/20130315140312/http://clopfic.heroku.com/authors/235", "Nostalgia Schmaltz")</f>
        <v>Nostalgia Schmaltz</v>
      </c>
      <c r="J796" s="7" t="s">
        <v>39</v>
      </c>
      <c r="L796" s="7" t="s">
        <v>62</v>
      </c>
      <c r="N796" s="7" t="s">
        <v>47</v>
      </c>
      <c r="R796" s="7" t="s">
        <v>66</v>
      </c>
      <c r="V796" s="7" t="s">
        <v>71</v>
      </c>
      <c r="AG796" s="9">
        <v>40870.0</v>
      </c>
      <c r="AH796" s="9">
        <v>40870.0</v>
      </c>
    </row>
    <row r="797">
      <c r="A797" s="6" t="str">
        <f>HYPERLINK("https://archive.ph/o/kCXAs/https://web-beta.archive.org/web/20130315140312/http://clopfic.heroku.com/fics/428", "Trixie's Greatest Love")</f>
        <v>Trixie's Greatest Love</v>
      </c>
      <c r="B797" s="7" t="s">
        <v>36</v>
      </c>
      <c r="H797" s="8" t="s">
        <v>842</v>
      </c>
      <c r="I797" s="6" t="str">
        <f>HYPERLINK("https://archive.ph/o/kCXAs/https://web-beta.archive.org/web/20130315140312/http://clopfic.heroku.com/authors/1315", "WolfNanaki")</f>
        <v>WolfNanaki</v>
      </c>
      <c r="X797" s="7" t="s">
        <v>107</v>
      </c>
      <c r="AG797" s="9">
        <v>40554.0</v>
      </c>
      <c r="AH797" s="9">
        <v>40869.0</v>
      </c>
    </row>
    <row r="798">
      <c r="A798" s="6" t="str">
        <f>HYPERLINK("https://archive.ph/o/kCXAs/https://web-beta.archive.org/web/20130315140312/http://clopfic.heroku.com/fics/571", "A Hoofs-On Education")</f>
        <v>A Hoofs-On Education</v>
      </c>
      <c r="D798" s="7" t="s">
        <v>37</v>
      </c>
      <c r="H798" s="8" t="s">
        <v>843</v>
      </c>
      <c r="I798" s="6" t="str">
        <f>HYPERLINK("https://archive.ph/o/kCXAs/https://web-beta.archive.org/web/20130315140312/http://clopfic.heroku.com/authors/234", "Brutalassmaster")</f>
        <v>Brutalassmaster</v>
      </c>
      <c r="J798" s="7" t="s">
        <v>39</v>
      </c>
      <c r="W798" s="7" t="s">
        <v>69</v>
      </c>
      <c r="AG798" s="9">
        <v>40868.0</v>
      </c>
      <c r="AH798" s="9">
        <v>40868.0</v>
      </c>
    </row>
    <row r="799">
      <c r="A799" s="6" t="str">
        <f>HYPERLINK("https://archive.ph/o/kCXAs/https://web-beta.archive.org/web/20130315140312/http://clopfic.heroku.com/fics/570", "Soarin Love Futa-Spitfire")</f>
        <v>Soarin Love Futa-Spitfire</v>
      </c>
      <c r="E799" s="7" t="s">
        <v>44</v>
      </c>
      <c r="H799" s="8" t="s">
        <v>844</v>
      </c>
      <c r="I799" s="6" t="str">
        <f>HYPERLINK("https://archive.ph/o/kCXAs/https://web-beta.archive.org/web/20130315140312/http://clopfic.heroku.com/authors/233", "DanMcIntosh")</f>
        <v>DanMcIntosh</v>
      </c>
      <c r="AE799" s="7" t="s">
        <v>43</v>
      </c>
      <c r="AG799" s="9">
        <v>40868.0</v>
      </c>
      <c r="AH799" s="9">
        <v>40868.0</v>
      </c>
    </row>
    <row r="800">
      <c r="A800" s="6" t="str">
        <f>HYPERLINK("https://archive.ph/o/kCXAs/https://web-beta.archive.org/web/20130315140312/http://clopfic.heroku.com/fics/569", "Twilight's Horn Warmer")</f>
        <v>Twilight's Horn Warmer</v>
      </c>
      <c r="E800" s="7" t="s">
        <v>44</v>
      </c>
      <c r="G800" s="7" t="s">
        <v>75</v>
      </c>
      <c r="H800" s="8" t="s">
        <v>845</v>
      </c>
      <c r="I800" s="6" t="str">
        <f>HYPERLINK("https://archive.ph/o/kCXAs/https://web-beta.archive.org/web/20130315140312/http://clopfic.heroku.com/authors/115", "Midnight Shadow")</f>
        <v>Midnight Shadow</v>
      </c>
      <c r="J800" s="7" t="s">
        <v>39</v>
      </c>
      <c r="K800" s="7" t="s">
        <v>49</v>
      </c>
      <c r="L800" s="7" t="s">
        <v>62</v>
      </c>
      <c r="M800" s="7" t="s">
        <v>56</v>
      </c>
      <c r="N800" s="7" t="s">
        <v>47</v>
      </c>
      <c r="O800" s="7" t="s">
        <v>51</v>
      </c>
      <c r="X800" s="7" t="s">
        <v>107</v>
      </c>
      <c r="AG800" s="9">
        <v>40866.0</v>
      </c>
      <c r="AH800" s="9">
        <v>40866.0</v>
      </c>
    </row>
    <row r="801">
      <c r="A801" s="6" t="str">
        <f>HYPERLINK("https://archive.ph/o/kCXAs/https://web-beta.archive.org/web/20130315140312/http://clopfic.heroku.com/fics/566", "Love: You Meet Somebody but You Don't Want to Murder Them")</f>
        <v>Love: You Meet Somebody but You Don't Want to Murder Them</v>
      </c>
      <c r="B801" s="7" t="s">
        <v>36</v>
      </c>
      <c r="C801" s="7" t="s">
        <v>54</v>
      </c>
      <c r="E801" s="7" t="s">
        <v>44</v>
      </c>
      <c r="H801" s="8" t="s">
        <v>846</v>
      </c>
      <c r="I801" s="6" t="str">
        <f>HYPERLINK("https://archive.ph/o/kCXAs/https://web-beta.archive.org/web/20130315140312/http://clopfic.heroku.com/authors/230", "Sade von Blackheart")</f>
        <v>Sade von Blackheart</v>
      </c>
      <c r="K801" s="7" t="s">
        <v>49</v>
      </c>
      <c r="T801" s="7" t="s">
        <v>59</v>
      </c>
      <c r="AG801" s="9">
        <v>40863.0</v>
      </c>
      <c r="AH801" s="9">
        <v>40863.0</v>
      </c>
    </row>
    <row r="802">
      <c r="A802" s="6" t="str">
        <f>HYPERLINK("https://archive.ph/o/kCXAs/https://web-beta.archive.org/web/20130315140312/http://clopfic.heroku.com/fics/564", "Rainlight")</f>
        <v>Rainlight</v>
      </c>
      <c r="H802" s="8" t="s">
        <v>847</v>
      </c>
      <c r="I802" s="6" t="str">
        <f>HYPERLINK("https://archive.ph/o/kCXAs/https://web-beta.archive.org/web/20130315140312/http://clopfic.heroku.com/authors/1", "RagingSemi")</f>
        <v>RagingSemi</v>
      </c>
      <c r="J802" s="7" t="s">
        <v>39</v>
      </c>
      <c r="M802" s="7" t="s">
        <v>56</v>
      </c>
      <c r="AG802" s="9">
        <v>40862.0</v>
      </c>
      <c r="AH802" s="9">
        <v>40862.0</v>
      </c>
    </row>
    <row r="803">
      <c r="A803" s="6" t="str">
        <f>HYPERLINK("https://archive.ph/o/kCXAs/https://web-beta.archive.org/web/20130315140312/http://clopfic.heroku.com/fics/563", "Derpy's Birthday")</f>
        <v>Derpy's Birthday</v>
      </c>
      <c r="E803" s="7" t="s">
        <v>44</v>
      </c>
      <c r="H803" s="8" t="s">
        <v>848</v>
      </c>
      <c r="I803" s="6" t="str">
        <f>HYPERLINK("https://archive.ph/o/kCXAs/https://web-beta.archive.org/web/20130315140312/http://clopfic.heroku.com/authors/229", "Notorious Demoman")</f>
        <v>Notorious Demoman</v>
      </c>
      <c r="N803" s="7" t="s">
        <v>47</v>
      </c>
      <c r="O803" s="7" t="s">
        <v>51</v>
      </c>
      <c r="Z803" s="7" t="s">
        <v>40</v>
      </c>
      <c r="AA803" s="7" t="s">
        <v>113</v>
      </c>
      <c r="AF803" s="7" t="s">
        <v>41</v>
      </c>
      <c r="AG803" s="9">
        <v>40862.0</v>
      </c>
      <c r="AH803" s="9">
        <v>40862.0</v>
      </c>
    </row>
    <row r="804">
      <c r="A804" s="6" t="str">
        <f>HYPERLINK("https://archive.ph/o/kCXAs/https://web-beta.archive.org/web/20130315140312/http://clopfic.heroku.com/fics/562", "You Will Never Share an Intimate Moment with Applejack")</f>
        <v>You Will Never Share an Intimate Moment with Applejack</v>
      </c>
      <c r="C804" s="7" t="s">
        <v>54</v>
      </c>
      <c r="E804" s="7" t="s">
        <v>44</v>
      </c>
      <c r="H804" s="8" t="s">
        <v>849</v>
      </c>
      <c r="I804" s="6" t="str">
        <f>HYPERLINK("https://archive.ph/o/kCXAs/https://web-beta.archive.org/web/20130315140312/http://clopfic.heroku.com/authors/584", "Cloperella")</f>
        <v>Cloperella</v>
      </c>
      <c r="L804" s="7" t="s">
        <v>62</v>
      </c>
      <c r="AG804" s="9">
        <v>40860.0</v>
      </c>
      <c r="AH804" s="9">
        <v>40860.0</v>
      </c>
    </row>
    <row r="805">
      <c r="A805" s="6" t="str">
        <f>HYPERLINK("https://archive.ph/o/kCXAs/https://web-beta.archive.org/web/20130315140312/http://clopfic.heroku.com/fics/561", "Lyra's Private Performance")</f>
        <v>Lyra's Private Performance</v>
      </c>
      <c r="E805" s="7" t="s">
        <v>44</v>
      </c>
      <c r="H805" s="8" t="s">
        <v>850</v>
      </c>
      <c r="I805" s="6" t="str">
        <f>HYPERLINK("https://archive.ph/o/kCXAs/https://web-beta.archive.org/web/20130315140312/http://clopfic.heroku.com/authors/222", "Georgio154")</f>
        <v>Georgio154</v>
      </c>
      <c r="Z805" s="7" t="s">
        <v>40</v>
      </c>
      <c r="AB805" s="7" t="s">
        <v>101</v>
      </c>
      <c r="AC805" s="7" t="s">
        <v>102</v>
      </c>
      <c r="AG805" s="9">
        <v>40860.0</v>
      </c>
      <c r="AH805" s="9">
        <v>40860.0</v>
      </c>
    </row>
    <row r="806">
      <c r="A806" s="6" t="str">
        <f>HYPERLINK("https://archive.ph/o/kCXAs/https://web-beta.archive.org/web/20130315140312/http://clopfic.heroku.com/fics/235", "Adventures in Equestria")</f>
        <v>Adventures in Equestria</v>
      </c>
      <c r="C806" s="7" t="s">
        <v>54</v>
      </c>
      <c r="F806" s="7" t="s">
        <v>52</v>
      </c>
      <c r="G806" s="7" t="s">
        <v>75</v>
      </c>
      <c r="H806" s="8" t="s">
        <v>851</v>
      </c>
      <c r="I806" s="6" t="str">
        <f>HYPERLINK("https://archive.ph/o/kCXAs/https://web-beta.archive.org/web/20130315140312/http://clopfic.heroku.com/authors/73", "Buttersc0tchSundae")</f>
        <v>Buttersc0tchSundae</v>
      </c>
      <c r="K806" s="7" t="s">
        <v>49</v>
      </c>
      <c r="Z806" s="7" t="s">
        <v>40</v>
      </c>
      <c r="AF806" s="7" t="s">
        <v>41</v>
      </c>
      <c r="AG806" s="9">
        <v>40762.0</v>
      </c>
      <c r="AH806" s="9">
        <v>40859.0</v>
      </c>
    </row>
    <row r="807">
      <c r="A807" s="6" t="str">
        <f>HYPERLINK("https://archive.ph/o/kCXAs/https://web-beta.archive.org/web/20130315140312/http://clopfic.heroku.com/fics/559", "How Equestria Was Really Made")</f>
        <v>How Equestria Was Really Made</v>
      </c>
      <c r="D807" s="7" t="s">
        <v>37</v>
      </c>
      <c r="H807" s="8" t="s">
        <v>852</v>
      </c>
      <c r="I807" s="6" t="str">
        <f>HYPERLINK("https://archive.ph/o/kCXAs/https://web-beta.archive.org/web/20130315140312/http://clopfic.heroku.com/authors/226", "Duchess of Moonbrooke")</f>
        <v>Duchess of Moonbrooke</v>
      </c>
      <c r="K807" s="7" t="s">
        <v>49</v>
      </c>
      <c r="U807" s="7" t="s">
        <v>60</v>
      </c>
      <c r="Z807" s="7" t="s">
        <v>40</v>
      </c>
      <c r="AE807" s="7" t="s">
        <v>43</v>
      </c>
      <c r="AG807" s="9">
        <v>40858.0</v>
      </c>
      <c r="AH807" s="9">
        <v>40858.0</v>
      </c>
    </row>
    <row r="808">
      <c r="A808" s="6" t="str">
        <f>HYPERLINK("https://archive.ph/o/kCXAs/https://web-beta.archive.org/web/20130315140312/http://clopfic.heroku.com/fics/554", "nudge nudge, wink wink")</f>
        <v>nudge nudge, wink wink</v>
      </c>
      <c r="C808" s="7" t="s">
        <v>54</v>
      </c>
      <c r="D808" s="7" t="s">
        <v>37</v>
      </c>
      <c r="H808" s="8" t="s">
        <v>853</v>
      </c>
      <c r="I808" s="6" t="str">
        <f>HYPERLINK("https://archive.ph/o/kCXAs/https://web-beta.archive.org/web/20130315140312/http://clopfic.heroku.com/authors/224", "innersanctum")</f>
        <v>innersanctum</v>
      </c>
      <c r="L808" s="7" t="s">
        <v>62</v>
      </c>
      <c r="V808" s="7" t="s">
        <v>71</v>
      </c>
      <c r="AG808" s="9">
        <v>40855.0</v>
      </c>
      <c r="AH808" s="9">
        <v>40855.0</v>
      </c>
    </row>
    <row r="809">
      <c r="A809" s="6" t="str">
        <f>HYPERLINK("https://archive.ph/o/kCXAs/https://web-beta.archive.org/web/20130315140312/http://clopfic.heroku.com/fics/546", "Wet Dreams")</f>
        <v>Wet Dreams</v>
      </c>
      <c r="F809" s="7" t="s">
        <v>52</v>
      </c>
      <c r="H809" s="8" t="s">
        <v>854</v>
      </c>
      <c r="I809" s="6" t="str">
        <f>HYPERLINK("https://archive.ph/o/kCXAs/https://web-beta.archive.org/web/20130315140312/http://clopfic.heroku.com/authors/217", "Oxyloged")</f>
        <v>Oxyloged</v>
      </c>
      <c r="J809" s="7" t="s">
        <v>39</v>
      </c>
      <c r="L809" s="7" t="s">
        <v>62</v>
      </c>
      <c r="P809" s="7" t="s">
        <v>64</v>
      </c>
      <c r="Q809" s="7" t="s">
        <v>65</v>
      </c>
      <c r="AG809" s="9">
        <v>40849.0</v>
      </c>
      <c r="AH809" s="9">
        <v>40854.0</v>
      </c>
    </row>
    <row r="810">
      <c r="A810" s="6" t="str">
        <f>HYPERLINK("https://archive.ph/o/kCXAs/https://web-beta.archive.org/web/20130315140312/http://clopfic.heroku.com/fics/552", "Carrot Top's Secret Garden")</f>
        <v>Carrot Top's Secret Garden</v>
      </c>
      <c r="E810" s="7" t="s">
        <v>44</v>
      </c>
      <c r="H810" s="8" t="s">
        <v>855</v>
      </c>
      <c r="I810" s="6" t="str">
        <f>HYPERLINK("https://archive.ph/o/kCXAs/https://web-beta.archive.org/web/20130315140312/http://clopfic.heroku.com/authors/222", "Georgio154")</f>
        <v>Georgio154</v>
      </c>
      <c r="Z810" s="7" t="s">
        <v>40</v>
      </c>
      <c r="AE810" s="7" t="s">
        <v>43</v>
      </c>
      <c r="AF810" s="7" t="s">
        <v>41</v>
      </c>
      <c r="AG810" s="9">
        <v>40853.0</v>
      </c>
      <c r="AH810" s="9">
        <v>40853.0</v>
      </c>
    </row>
    <row r="811">
      <c r="A811" s="6" t="str">
        <f>HYPERLINK("https://archive.ph/o/kCXAs/https://web-beta.archive.org/web/20130315140312/http://clopfic.heroku.com/fics/551", "Behind Bars")</f>
        <v>Behind Bars</v>
      </c>
      <c r="B811" s="7" t="s">
        <v>36</v>
      </c>
      <c r="H811" s="8" t="s">
        <v>856</v>
      </c>
      <c r="I811" s="6" t="str">
        <f>HYPERLINK("https://archive.ph/o/kCXAs/https://web-beta.archive.org/web/20130315140312/http://clopfic.heroku.com/authors/221", "SirTimotei")</f>
        <v>SirTimotei</v>
      </c>
      <c r="P811" s="7" t="s">
        <v>64</v>
      </c>
      <c r="Z811" s="7" t="s">
        <v>40</v>
      </c>
      <c r="AF811" s="7" t="s">
        <v>41</v>
      </c>
      <c r="AG811" s="9">
        <v>40852.0</v>
      </c>
      <c r="AH811" s="9">
        <v>40852.0</v>
      </c>
    </row>
    <row r="812">
      <c r="A812" s="6" t="str">
        <f>HYPERLINK("https://archive.ph/o/kCXAs/https://web-beta.archive.org/web/20130315140312/http://clopfic.heroku.com/fics/550", "Miss Magic")</f>
        <v>Miss Magic</v>
      </c>
      <c r="D812" s="7" t="s">
        <v>37</v>
      </c>
      <c r="H812" s="8" t="s">
        <v>857</v>
      </c>
      <c r="I812" s="6" t="str">
        <f>HYPERLINK("https://archive.ph/o/kCXAs/https://web-beta.archive.org/web/20130315140312/http://clopfic.heroku.com/authors/220", "Dev")</f>
        <v>Dev</v>
      </c>
      <c r="J812" s="7" t="s">
        <v>39</v>
      </c>
      <c r="AF812" s="7" t="s">
        <v>41</v>
      </c>
      <c r="AG812" s="9">
        <v>40851.0</v>
      </c>
      <c r="AH812" s="9">
        <v>40851.0</v>
      </c>
    </row>
    <row r="813">
      <c r="A813" s="6" t="str">
        <f>HYPERLINK("https://archive.ph/o/kCXAs/https://web-beta.archive.org/web/20130315140312/http://clopfic.heroku.com/fics/547", "Carrots")</f>
        <v>Carrots</v>
      </c>
      <c r="D813" s="7" t="s">
        <v>37</v>
      </c>
      <c r="H813" s="8" t="s">
        <v>858</v>
      </c>
      <c r="I813" s="6" t="str">
        <f>HYPERLINK("https://archive.ph/o/kCXAs/https://web-beta.archive.org/web/20130315140312/http://clopfic.heroku.com/authors/218", "Insomnia")</f>
        <v>Insomnia</v>
      </c>
      <c r="J813" s="7" t="s">
        <v>39</v>
      </c>
      <c r="N813" s="7" t="s">
        <v>47</v>
      </c>
      <c r="O813" s="7" t="s">
        <v>51</v>
      </c>
      <c r="Q813" s="7" t="s">
        <v>65</v>
      </c>
      <c r="AG813" s="9">
        <v>40851.0</v>
      </c>
      <c r="AH813" s="9">
        <v>40851.0</v>
      </c>
    </row>
    <row r="814">
      <c r="A814" s="6" t="str">
        <f>HYPERLINK("https://archive.ph/o/kCXAs/https://web-beta.archive.org/web/20130315140312/http://clopfic.heroku.com/fics/545", "Backside Gobbler")</f>
        <v>Backside Gobbler</v>
      </c>
      <c r="H814" s="8" t="s">
        <v>859</v>
      </c>
      <c r="I814" s="6" t="str">
        <f>HYPERLINK("https://archive.ph/o/kCXAs/https://web-beta.archive.org/web/20130315140312/http://clopfic.heroku.com/authors/1", "RagingSemi")</f>
        <v>RagingSemi</v>
      </c>
      <c r="Q814" s="7" t="s">
        <v>65</v>
      </c>
      <c r="R814" s="7" t="s">
        <v>66</v>
      </c>
      <c r="S814" s="7" t="s">
        <v>68</v>
      </c>
      <c r="T814" s="7" t="s">
        <v>59</v>
      </c>
      <c r="U814" s="7" t="s">
        <v>60</v>
      </c>
      <c r="Z814" s="7" t="s">
        <v>40</v>
      </c>
      <c r="AE814" s="7" t="s">
        <v>43</v>
      </c>
      <c r="AG814" s="9">
        <v>40846.0</v>
      </c>
      <c r="AH814" s="9">
        <v>40846.0</v>
      </c>
    </row>
    <row r="815">
      <c r="A815" s="6" t="str">
        <f>HYPERLINK("https://archive.ph/o/kCXAs/https://web-beta.archive.org/web/20130315140312/http://clopfic.heroku.com/fics/544", "The Scent of Violets")</f>
        <v>The Scent of Violets</v>
      </c>
      <c r="E815" s="7" t="s">
        <v>44</v>
      </c>
      <c r="H815" s="8" t="s">
        <v>860</v>
      </c>
      <c r="I815" s="6" t="str">
        <f>HYPERLINK("https://archive.ph/o/kCXAs/https://web-beta.archive.org/web/20130315140312/http://clopfic.heroku.com/authors/216", "The-Symbol-Dynamic")</f>
        <v>The-Symbol-Dynamic</v>
      </c>
      <c r="J815" s="7" t="s">
        <v>39</v>
      </c>
      <c r="Q815" s="7" t="s">
        <v>65</v>
      </c>
      <c r="AG815" s="9">
        <v>40845.0</v>
      </c>
      <c r="AH815" s="9">
        <v>40845.0</v>
      </c>
    </row>
    <row r="816">
      <c r="A816" s="6" t="str">
        <f>HYPERLINK("https://archive.ph/o/kCXAs/https://web-beta.archive.org/web/20130315140312/http://clopfic.heroku.com/fics/543", "Berry Scratch")</f>
        <v>Berry Scratch</v>
      </c>
      <c r="E816" s="7" t="s">
        <v>44</v>
      </c>
      <c r="H816" s="8" t="s">
        <v>861</v>
      </c>
      <c r="I816" s="6" t="str">
        <f>HYPERLINK("https://archive.ph/o/kCXAs/https://web-beta.archive.org/web/20130315140312/http://clopfic.heroku.com/authors/215", "BrownMane")</f>
        <v>BrownMane</v>
      </c>
      <c r="Z816" s="7" t="s">
        <v>40</v>
      </c>
      <c r="AE816" s="7" t="s">
        <v>43</v>
      </c>
      <c r="AG816" s="9">
        <v>40844.0</v>
      </c>
      <c r="AH816" s="9">
        <v>40844.0</v>
      </c>
    </row>
    <row r="817">
      <c r="A817" s="6" t="str">
        <f>HYPERLINK("https://archive.ph/o/kCXAs/https://web-beta.archive.org/web/20130315140312/http://clopfic.heroku.com/fics/540", "Generous love")</f>
        <v>Generous love</v>
      </c>
      <c r="C817" s="7" t="s">
        <v>54</v>
      </c>
      <c r="E817" s="7" t="s">
        <v>44</v>
      </c>
      <c r="H817" s="8" t="s">
        <v>862</v>
      </c>
      <c r="I817" s="6" t="str">
        <f>HYPERLINK("https://archive.ph/o/kCXAs/https://web-beta.archive.org/web/20130315140312/http://clopfic.heroku.com/authors/198", "Theorangefox")</f>
        <v>Theorangefox</v>
      </c>
      <c r="N817" s="7" t="s">
        <v>47</v>
      </c>
      <c r="Z817" s="7" t="s">
        <v>40</v>
      </c>
      <c r="AF817" s="7" t="s">
        <v>41</v>
      </c>
      <c r="AG817" s="9">
        <v>40842.0</v>
      </c>
      <c r="AH817" s="9">
        <v>40842.0</v>
      </c>
    </row>
    <row r="818">
      <c r="A818" s="6" t="str">
        <f>HYPERLINK("https://archive.ph/o/kCXAs/https://web-beta.archive.org/web/20130315140312/http://clopfic.heroku.com/fics/526", "Clopton Nights")</f>
        <v>Clopton Nights</v>
      </c>
      <c r="B818" s="7" t="s">
        <v>36</v>
      </c>
      <c r="D818" s="7" t="s">
        <v>37</v>
      </c>
      <c r="F818" s="7" t="s">
        <v>52</v>
      </c>
      <c r="H818" s="8" t="s">
        <v>863</v>
      </c>
      <c r="I818" s="6" t="str">
        <f>HYPERLINK("https://archive.ph/o/kCXAs/https://web-beta.archive.org/web/20130315140312/http://clopfic.heroku.com/authors/199", "Sallymoronic")</f>
        <v>Sallymoronic</v>
      </c>
      <c r="Z818" s="7" t="s">
        <v>40</v>
      </c>
      <c r="AF818" s="7" t="s">
        <v>41</v>
      </c>
      <c r="AG818" s="9">
        <v>40830.0</v>
      </c>
      <c r="AH818" s="9">
        <v>40839.0</v>
      </c>
    </row>
    <row r="819">
      <c r="A819" s="6" t="str">
        <f>HYPERLINK("https://archive.ph/o/kCXAs/https://web-beta.archive.org/web/20130315140312/http://clopfic.heroku.com/fics/536", "Mirror Moons")</f>
        <v>Mirror Moons</v>
      </c>
      <c r="E819" s="7" t="s">
        <v>44</v>
      </c>
      <c r="H819" s="8" t="s">
        <v>864</v>
      </c>
      <c r="I819" s="6" t="str">
        <f>HYPERLINK("https://archive.ph/o/kCXAs/https://web-beta.archive.org/web/20130315140312/http://clopfic.heroku.com/authors/72", "Arcane Anonymity")</f>
        <v>Arcane Anonymity</v>
      </c>
      <c r="Q819" s="7" t="s">
        <v>65</v>
      </c>
      <c r="AF819" s="7" t="s">
        <v>41</v>
      </c>
      <c r="AG819" s="9">
        <v>40838.0</v>
      </c>
      <c r="AH819" s="9">
        <v>40838.0</v>
      </c>
    </row>
    <row r="820">
      <c r="A820" s="6" t="str">
        <f>HYPERLINK("https://archive.ph/o/kCXAs/https://web-beta.archive.org/web/20130315140312/http://clopfic.heroku.com/fics/532", "Fastest In Equestria")</f>
        <v>Fastest In Equestria</v>
      </c>
      <c r="C820" s="7" t="s">
        <v>54</v>
      </c>
      <c r="D820" s="7" t="s">
        <v>37</v>
      </c>
      <c r="H820" s="8" t="s">
        <v>865</v>
      </c>
      <c r="I820" s="6" t="str">
        <f>HYPERLINK("https://archive.ph/o/kCXAs/https://web-beta.archive.org/web/20130315140312/http://clopfic.heroku.com/authors/206", "D.")</f>
        <v>D.</v>
      </c>
      <c r="M820" s="7" t="s">
        <v>56</v>
      </c>
      <c r="P820" s="7" t="s">
        <v>64</v>
      </c>
      <c r="Q820" s="7" t="s">
        <v>65</v>
      </c>
      <c r="AG820" s="9">
        <v>40834.0</v>
      </c>
      <c r="AH820" s="9">
        <v>40834.0</v>
      </c>
    </row>
    <row r="821">
      <c r="A821" s="6" t="str">
        <f>HYPERLINK("https://archive.ph/o/kCXAs/https://web-beta.archive.org/web/20130315140312/http://clopfic.heroku.com/fics/531", "Belief")</f>
        <v>Belief</v>
      </c>
      <c r="E821" s="7" t="s">
        <v>44</v>
      </c>
      <c r="H821" s="8" t="s">
        <v>866</v>
      </c>
      <c r="I821" s="6" t="str">
        <f>HYPERLINK("https://archive.ph/o/kCXAs/https://web-beta.archive.org/web/20130315140312/http://clopfic.heroku.com/authors/205", "Proteus-92")</f>
        <v>Proteus-92</v>
      </c>
      <c r="Z821" s="7" t="s">
        <v>40</v>
      </c>
      <c r="AE821" s="7" t="s">
        <v>43</v>
      </c>
      <c r="AG821" s="9">
        <v>40834.0</v>
      </c>
      <c r="AH821" s="9">
        <v>40834.0</v>
      </c>
    </row>
    <row r="822">
      <c r="A822" s="6" t="str">
        <f>HYPERLINK("https://archive.ph/o/kCXAs/https://web-beta.archive.org/web/20130315140312/http://clopfic.heroku.com/fics/529", "Is There a Doctor in the House (Or: How I Learned to Stop Worrying and Rape Mercilessly)")</f>
        <v>Is There a Doctor in the House (Or: How I Learned to Stop Worrying and Rape Mercilessly)</v>
      </c>
      <c r="B822" s="7" t="s">
        <v>36</v>
      </c>
      <c r="H822" s="8" t="s">
        <v>867</v>
      </c>
      <c r="I822" s="6" t="str">
        <f>HYPERLINK("https://archive.ph/o/kCXAs/https://web-beta.archive.org/web/20130315140312/http://clopfic.heroku.com/authors/203", "BMBrony")</f>
        <v>BMBrony</v>
      </c>
      <c r="J822" s="7" t="s">
        <v>39</v>
      </c>
      <c r="N822" s="7" t="s">
        <v>47</v>
      </c>
      <c r="R822" s="7" t="s">
        <v>66</v>
      </c>
      <c r="S822" s="7" t="s">
        <v>68</v>
      </c>
      <c r="T822" s="7" t="s">
        <v>59</v>
      </c>
      <c r="U822" s="7" t="s">
        <v>60</v>
      </c>
      <c r="AG822" s="9">
        <v>40832.0</v>
      </c>
      <c r="AH822" s="9">
        <v>40832.0</v>
      </c>
    </row>
    <row r="823">
      <c r="A823" s="6" t="str">
        <f>HYPERLINK("https://archive.ph/o/kCXAs/https://web-beta.archive.org/web/20130315140312/http://clopfic.heroku.com/fics/527", "Merely a Male Mare")</f>
        <v>Merely a Male Mare</v>
      </c>
      <c r="C823" s="7" t="s">
        <v>54</v>
      </c>
      <c r="H823" s="8" t="s">
        <v>868</v>
      </c>
      <c r="I823" s="6" t="str">
        <f>HYPERLINK("https://archive.ph/o/kCXAs/https://web-beta.archive.org/web/20130315140312/http://clopfic.heroku.com/authors/224", "innersanctum")</f>
        <v>innersanctum</v>
      </c>
      <c r="V823" s="7" t="s">
        <v>71</v>
      </c>
      <c r="Z823" s="7" t="s">
        <v>40</v>
      </c>
      <c r="AE823" s="7" t="s">
        <v>43</v>
      </c>
      <c r="AF823" s="7" t="s">
        <v>41</v>
      </c>
      <c r="AG823" s="9">
        <v>40830.0</v>
      </c>
      <c r="AH823" s="9">
        <v>40830.0</v>
      </c>
    </row>
    <row r="824">
      <c r="A824" s="6" t="str">
        <f>HYPERLINK("https://archive.ph/o/kCXAs/https://web-beta.archive.org/web/20130315140312/http://clopfic.heroku.com/fics/502", "The Back Room")</f>
        <v>The Back Room</v>
      </c>
      <c r="B824" s="7" t="s">
        <v>36</v>
      </c>
      <c r="D824" s="7" t="s">
        <v>37</v>
      </c>
      <c r="E824" s="7" t="s">
        <v>44</v>
      </c>
      <c r="H824" s="8" t="s">
        <v>869</v>
      </c>
      <c r="I824" s="6" t="str">
        <f>HYPERLINK("https://archive.ph/o/kCXAs/https://web-beta.archive.org/web/20130315140312/http://clopfic.heroku.com/authors/182", "Ponyman")</f>
        <v>Ponyman</v>
      </c>
      <c r="J824" s="7" t="s">
        <v>39</v>
      </c>
      <c r="K824" s="7" t="s">
        <v>49</v>
      </c>
      <c r="L824" s="7" t="s">
        <v>62</v>
      </c>
      <c r="M824" s="7" t="s">
        <v>56</v>
      </c>
      <c r="N824" s="7" t="s">
        <v>47</v>
      </c>
      <c r="O824" s="7" t="s">
        <v>51</v>
      </c>
      <c r="R824" s="7" t="s">
        <v>66</v>
      </c>
      <c r="S824" s="7" t="s">
        <v>68</v>
      </c>
      <c r="T824" s="7" t="s">
        <v>59</v>
      </c>
      <c r="U824" s="7" t="s">
        <v>60</v>
      </c>
      <c r="V824" s="7" t="s">
        <v>71</v>
      </c>
      <c r="Z824" s="7" t="s">
        <v>40</v>
      </c>
      <c r="AB824" s="7" t="s">
        <v>101</v>
      </c>
      <c r="AC824" s="7" t="s">
        <v>102</v>
      </c>
      <c r="AE824" s="7" t="s">
        <v>43</v>
      </c>
      <c r="AF824" s="7" t="s">
        <v>41</v>
      </c>
      <c r="AG824" s="9">
        <v>40813.0</v>
      </c>
      <c r="AH824" s="9">
        <v>40829.0</v>
      </c>
    </row>
    <row r="825">
      <c r="A825" s="6" t="str">
        <f>HYPERLINK("https://archive.ph/o/kCXAs/https://web-beta.archive.org/web/20130315140312/http://clopfic.heroku.com/fics/525", "Groomed")</f>
        <v>Groomed</v>
      </c>
      <c r="H825" s="8" t="s">
        <v>870</v>
      </c>
      <c r="I825" s="6" t="str">
        <f>HYPERLINK("https://archive.ph/o/kCXAs/https://web-beta.archive.org/web/20130315140312/http://clopfic.heroku.com/authors/112", "VelvetHeart")</f>
        <v>VelvetHeart</v>
      </c>
      <c r="N825" s="7" t="s">
        <v>47</v>
      </c>
      <c r="Z825" s="7" t="s">
        <v>40</v>
      </c>
      <c r="AF825" s="7" t="s">
        <v>41</v>
      </c>
      <c r="AG825" s="9">
        <v>40829.0</v>
      </c>
      <c r="AH825" s="9">
        <v>40829.0</v>
      </c>
    </row>
    <row r="826">
      <c r="A826" s="6" t="str">
        <f>HYPERLINK("https://archive.ph/o/kCXAs/https://web-beta.archive.org/web/20130315140312/http://clopfic.heroku.com/fics/524", "Betrayal")</f>
        <v>Betrayal</v>
      </c>
      <c r="C826" s="7" t="s">
        <v>54</v>
      </c>
      <c r="E826" s="7" t="s">
        <v>44</v>
      </c>
      <c r="H826" s="8" t="s">
        <v>871</v>
      </c>
      <c r="I826" s="6" t="str">
        <f>HYPERLINK("https://archive.ph/o/kCXAs/https://web-beta.archive.org/web/20130315140312/http://clopfic.heroku.com/authors/198", "Theorangefox")</f>
        <v>Theorangefox</v>
      </c>
      <c r="J826" s="7" t="s">
        <v>39</v>
      </c>
      <c r="Q826" s="7" t="s">
        <v>65</v>
      </c>
      <c r="R826" s="7" t="s">
        <v>66</v>
      </c>
      <c r="AG826" s="9">
        <v>40828.0</v>
      </c>
      <c r="AH826" s="9">
        <v>40828.0</v>
      </c>
    </row>
    <row r="827">
      <c r="A827" s="6" t="str">
        <f>HYPERLINK("https://archive.ph/o/kCXAs/https://web-beta.archive.org/web/20130315140312/http://clopfic.heroku.com/fics/522", "Secret, But Fun")</f>
        <v>Secret, But Fun</v>
      </c>
      <c r="D827" s="7" t="s">
        <v>37</v>
      </c>
      <c r="H827" s="8" t="s">
        <v>872</v>
      </c>
      <c r="I827" s="6" t="str">
        <f>HYPERLINK("https://archive.ph/o/kCXAs/https://web-beta.archive.org/web/20130315140312/http://clopfic.heroku.com/authors/66", "Cloppyhooves")</f>
        <v>Cloppyhooves</v>
      </c>
      <c r="R827" s="7" t="s">
        <v>66</v>
      </c>
      <c r="V827" s="7" t="s">
        <v>71</v>
      </c>
      <c r="Z827" s="7" t="s">
        <v>40</v>
      </c>
      <c r="AE827" s="7" t="s">
        <v>43</v>
      </c>
      <c r="AG827" s="9">
        <v>40825.0</v>
      </c>
      <c r="AH827" s="9">
        <v>40825.0</v>
      </c>
    </row>
    <row r="828">
      <c r="A828" s="6" t="str">
        <f>HYPERLINK("https://archive.ph/o/kCXAs/https://web-beta.archive.org/web/20130315140312/http://clopfic.heroku.com/fics/519", "Exploding Twice")</f>
        <v>Exploding Twice</v>
      </c>
      <c r="C828" s="7" t="s">
        <v>54</v>
      </c>
      <c r="H828" s="8" t="s">
        <v>873</v>
      </c>
      <c r="I828" s="6" t="str">
        <f>HYPERLINK("https://archive.ph/o/kCXAs/https://web-beta.archive.org/web/20130315140312/http://clopfic.heroku.com/authors/1", "RagingSemi")</f>
        <v>RagingSemi</v>
      </c>
      <c r="O828" s="7" t="s">
        <v>51</v>
      </c>
      <c r="R828" s="7" t="s">
        <v>66</v>
      </c>
      <c r="AG828" s="9">
        <v>40824.0</v>
      </c>
      <c r="AH828" s="9">
        <v>40824.0</v>
      </c>
    </row>
    <row r="829">
      <c r="A829" s="6" t="str">
        <f>HYPERLINK("https://archive.ph/o/kCXAs/https://web-beta.archive.org/web/20130315140312/http://clopfic.heroku.com/fics/517", "Dicks Everywhere Interlude: The Elements of Horse Semen")</f>
        <v>Dicks Everywhere Interlude: The Elements of Horse Semen</v>
      </c>
      <c r="D829" s="7" t="s">
        <v>37</v>
      </c>
      <c r="H829" s="8" t="s">
        <v>874</v>
      </c>
      <c r="I829" s="6" t="str">
        <f>HYPERLINK("https://archive.ph/o/kCXAs/https://web-beta.archive.org/web/20130315140312/http://clopfic.heroku.com/authors/78", "Plotospex")</f>
        <v>Plotospex</v>
      </c>
      <c r="J829" s="7" t="s">
        <v>39</v>
      </c>
      <c r="K829" s="7" t="s">
        <v>49</v>
      </c>
      <c r="L829" s="7" t="s">
        <v>62</v>
      </c>
      <c r="M829" s="7" t="s">
        <v>56</v>
      </c>
      <c r="N829" s="7" t="s">
        <v>47</v>
      </c>
      <c r="O829" s="7" t="s">
        <v>51</v>
      </c>
      <c r="P829" s="7" t="s">
        <v>64</v>
      </c>
      <c r="W829" s="7" t="s">
        <v>69</v>
      </c>
      <c r="Z829" s="7" t="s">
        <v>40</v>
      </c>
      <c r="AF829" s="7" t="s">
        <v>41</v>
      </c>
      <c r="AG829" s="9">
        <v>40824.0</v>
      </c>
      <c r="AH829" s="9">
        <v>40824.0</v>
      </c>
    </row>
    <row r="830">
      <c r="A830" s="6" t="str">
        <f>HYPERLINK("https://archive.ph/o/kCXAs/https://web-beta.archive.org/web/20130315140312/http://clopfic.heroku.com/fics/516", "Dragon Dildo")</f>
        <v>Dragon Dildo</v>
      </c>
      <c r="D830" s="7" t="s">
        <v>37</v>
      </c>
      <c r="H830" s="8" t="s">
        <v>875</v>
      </c>
      <c r="I830" s="6" t="str">
        <f>HYPERLINK("https://archive.ph/o/kCXAs/https://web-beta.archive.org/web/20130315140312/http://clopfic.heroku.com/authors/180", "Anonymous")</f>
        <v>Anonymous</v>
      </c>
      <c r="L830" s="7" t="s">
        <v>62</v>
      </c>
      <c r="R830" s="7" t="s">
        <v>66</v>
      </c>
      <c r="AG830" s="9">
        <v>40824.0</v>
      </c>
      <c r="AH830" s="9">
        <v>40824.0</v>
      </c>
    </row>
    <row r="831">
      <c r="A831" s="6" t="str">
        <f>HYPERLINK("https://archive.ph/o/kCXAs/https://web-beta.archive.org/web/20130315140312/http://clopfic.heroku.com/fics/515", "RARITY AND TOM SEX!")</f>
        <v>RARITY AND TOM SEX!</v>
      </c>
      <c r="D831" s="7" t="s">
        <v>37</v>
      </c>
      <c r="E831" s="7" t="s">
        <v>44</v>
      </c>
      <c r="H831" s="8" t="s">
        <v>876</v>
      </c>
      <c r="I831" s="6" t="str">
        <f>HYPERLINK("https://archive.ph/o/kCXAs/https://web-beta.archive.org/web/20130315140312/http://clopfic.heroku.com/authors/193", "TheCrazyDumbass")</f>
        <v>TheCrazyDumbass</v>
      </c>
      <c r="N831" s="7" t="s">
        <v>47</v>
      </c>
      <c r="O831" s="7" t="s">
        <v>51</v>
      </c>
      <c r="P831" s="7" t="s">
        <v>64</v>
      </c>
      <c r="Z831" s="7" t="s">
        <v>40</v>
      </c>
      <c r="AE831" s="7" t="s">
        <v>43</v>
      </c>
      <c r="AG831" s="9">
        <v>40824.0</v>
      </c>
      <c r="AH831" s="9">
        <v>40824.0</v>
      </c>
    </row>
    <row r="832">
      <c r="A832" s="6" t="str">
        <f>HYPERLINK("https://archive.ph/o/kCXAs/https://web-beta.archive.org/web/20130315140312/http://clopfic.heroku.com/fics/514", "Applejack's Night Out")</f>
        <v>Applejack's Night Out</v>
      </c>
      <c r="E832" s="7" t="s">
        <v>44</v>
      </c>
      <c r="H832" s="8" t="s">
        <v>877</v>
      </c>
      <c r="I832" s="6" t="str">
        <f>HYPERLINK("https://archive.ph/o/kCXAs/https://web-beta.archive.org/web/20130315140312/http://clopfic.heroku.com/authors/192", "CircusHorse")</f>
        <v>CircusHorse</v>
      </c>
      <c r="L832" s="7" t="s">
        <v>62</v>
      </c>
      <c r="Z832" s="7" t="s">
        <v>40</v>
      </c>
      <c r="AE832" s="7" t="s">
        <v>43</v>
      </c>
      <c r="AF832" s="7" t="s">
        <v>41</v>
      </c>
      <c r="AG832" s="9">
        <v>40823.0</v>
      </c>
      <c r="AH832" s="9">
        <v>40823.0</v>
      </c>
    </row>
    <row r="833">
      <c r="A833" s="6" t="str">
        <f>HYPERLINK("https://archive.ph/o/kCXAs/https://web-beta.archive.org/web/20130315140312/http://clopfic.heroku.com/fics/513", "Gilda's Private Show")</f>
        <v>Gilda's Private Show</v>
      </c>
      <c r="C833" s="7" t="s">
        <v>54</v>
      </c>
      <c r="D833" s="7" t="s">
        <v>37</v>
      </c>
      <c r="H833" s="8" t="s">
        <v>878</v>
      </c>
      <c r="I833" s="6" t="str">
        <f>HYPERLINK("https://archive.ph/o/kCXAs/https://web-beta.archive.org/web/20130315140312/http://clopfic.heroku.com/authors/181", "Wenseph")</f>
        <v>Wenseph</v>
      </c>
      <c r="W833" s="7" t="s">
        <v>69</v>
      </c>
      <c r="Y833" s="7" t="s">
        <v>184</v>
      </c>
      <c r="AG833" s="9">
        <v>40821.0</v>
      </c>
      <c r="AH833" s="9">
        <v>40821.0</v>
      </c>
    </row>
    <row r="834">
      <c r="A834" s="6" t="str">
        <f>HYPERLINK("https://archive.ph/o/kCXAs/https://web-beta.archive.org/web/20130315140312/http://clopfic.heroku.com/fics/510", "Fashion Camp Redux")</f>
        <v>Fashion Camp Redux</v>
      </c>
      <c r="E834" s="7" t="s">
        <v>44</v>
      </c>
      <c r="H834" s="8" t="s">
        <v>879</v>
      </c>
      <c r="I834" s="6" t="str">
        <f>HYPERLINK("https://archive.ph/o/kCXAs/https://web-beta.archive.org/web/20130315140312/http://clopfic.heroku.com/authors/202", "Shockblock99")</f>
        <v>Shockblock99</v>
      </c>
      <c r="N834" s="7" t="s">
        <v>47</v>
      </c>
      <c r="Z834" s="7" t="s">
        <v>40</v>
      </c>
      <c r="AF834" s="7" t="s">
        <v>41</v>
      </c>
      <c r="AG834" s="9">
        <v>40818.0</v>
      </c>
      <c r="AH834" s="9">
        <v>40820.0</v>
      </c>
    </row>
    <row r="835">
      <c r="A835" s="6" t="str">
        <f>HYPERLINK("https://archive.ph/o/kCXAs/https://web-beta.archive.org/web/20130315140312/http://clopfic.heroku.com/fics/452", "Present Sins")</f>
        <v>Present Sins</v>
      </c>
      <c r="B835" s="7" t="s">
        <v>36</v>
      </c>
      <c r="F835" s="7" t="s">
        <v>52</v>
      </c>
      <c r="H835" s="8" t="s">
        <v>880</v>
      </c>
      <c r="I835" s="6" t="str">
        <f>HYPERLINK("https://archive.ph/o/kCXAs/https://web-beta.archive.org/web/20130315140312/http://clopfic.heroku.com/authors/148", "AppleloosanPsychiatrist")</f>
        <v>AppleloosanPsychiatrist</v>
      </c>
      <c r="J835" s="7" t="s">
        <v>39</v>
      </c>
      <c r="L835" s="7" t="s">
        <v>62</v>
      </c>
      <c r="Z835" s="7" t="s">
        <v>40</v>
      </c>
      <c r="AE835" s="7" t="s">
        <v>43</v>
      </c>
      <c r="AF835" s="7" t="s">
        <v>41</v>
      </c>
      <c r="AG835" s="9">
        <v>40786.0</v>
      </c>
      <c r="AH835" s="9">
        <v>40819.0</v>
      </c>
    </row>
    <row r="836">
      <c r="A836" s="6" t="str">
        <f>HYPERLINK("https://archive.ph/o/kCXAs/https://web-beta.archive.org/web/20130315140312/http://clopfic.heroku.com/fics/509", "Hormones")</f>
        <v>Hormones</v>
      </c>
      <c r="B836" s="7" t="s">
        <v>36</v>
      </c>
      <c r="H836" s="8" t="s">
        <v>881</v>
      </c>
      <c r="I836" s="6" t="str">
        <f>HYPERLINK("https://archive.ph/o/kCXAs/https://web-beta.archive.org/web/20130315140312/http://clopfic.heroku.com/authors/746", "Flutterwhy4")</f>
        <v>Flutterwhy4</v>
      </c>
      <c r="J836" s="7" t="s">
        <v>39</v>
      </c>
      <c r="L836" s="7" t="s">
        <v>62</v>
      </c>
      <c r="N836" s="7" t="s">
        <v>47</v>
      </c>
      <c r="P836" s="7" t="s">
        <v>64</v>
      </c>
      <c r="R836" s="7" t="s">
        <v>66</v>
      </c>
      <c r="U836" s="7" t="s">
        <v>60</v>
      </c>
      <c r="Z836" s="7" t="s">
        <v>40</v>
      </c>
      <c r="AF836" s="7" t="s">
        <v>41</v>
      </c>
      <c r="AG836" s="9">
        <v>40816.0</v>
      </c>
      <c r="AH836" s="9">
        <v>40816.0</v>
      </c>
    </row>
    <row r="837">
      <c r="A837" s="6" t="str">
        <f>HYPERLINK("https://archive.ph/o/kCXAs/https://web-beta.archive.org/web/20130315140312/http://clopfic.heroku.com/fics/508", "A Graceful Submission")</f>
        <v>A Graceful Submission</v>
      </c>
      <c r="H837" s="8" t="s">
        <v>882</v>
      </c>
      <c r="I837" s="6" t="str">
        <f>HYPERLINK("https://archive.ph/o/kCXAs/https://web-beta.archive.org/web/20130315140312/http://clopfic.heroku.com/authors/158", "Norm De Plume")</f>
        <v>Norm De Plume</v>
      </c>
      <c r="L837" s="7" t="s">
        <v>62</v>
      </c>
      <c r="W837" s="7" t="s">
        <v>69</v>
      </c>
      <c r="AG837" s="9">
        <v>40816.0</v>
      </c>
      <c r="AH837" s="9">
        <v>40816.0</v>
      </c>
    </row>
    <row r="838">
      <c r="A838" s="6" t="str">
        <f>HYPERLINK("https://archive.ph/o/kCXAs/https://web-beta.archive.org/web/20130315140312/http://clopfic.heroku.com/fics/507", "Royal Invitation")</f>
        <v>Royal Invitation</v>
      </c>
      <c r="D838" s="7" t="s">
        <v>37</v>
      </c>
      <c r="E838" s="7" t="s">
        <v>44</v>
      </c>
      <c r="H838" s="8" t="s">
        <v>883</v>
      </c>
      <c r="I838" s="6" t="str">
        <f>HYPERLINK("https://archive.ph/o/kCXAs/https://web-beta.archive.org/web/20130315140312/http://clopfic.heroku.com/authors/187", "TheBrony")</f>
        <v>TheBrony</v>
      </c>
      <c r="J838" s="7" t="s">
        <v>39</v>
      </c>
      <c r="P838" s="7" t="s">
        <v>64</v>
      </c>
      <c r="AG838" s="9">
        <v>40815.0</v>
      </c>
      <c r="AH838" s="9">
        <v>40815.0</v>
      </c>
    </row>
    <row r="839">
      <c r="A839" s="6" t="str">
        <f>HYPERLINK("https://archive.ph/o/kCXAs/https://web-beta.archive.org/web/20130315140312/http://clopfic.heroku.com/fics/506", "Rarity's Erotic Massage")</f>
        <v>Rarity's Erotic Massage</v>
      </c>
      <c r="H839" s="8" t="s">
        <v>884</v>
      </c>
      <c r="I839" s="6" t="str">
        <f>HYPERLINK("https://archive.ph/o/kCXAs/https://web-beta.archive.org/web/20130315140312/http://clopfic.heroku.com/authors/185", "ZeroJanitor")</f>
        <v>ZeroJanitor</v>
      </c>
      <c r="J839" s="7" t="s">
        <v>39</v>
      </c>
      <c r="N839" s="7" t="s">
        <v>47</v>
      </c>
      <c r="AG839" s="9">
        <v>40814.0</v>
      </c>
      <c r="AH839" s="9">
        <v>40814.0</v>
      </c>
    </row>
    <row r="840">
      <c r="A840" s="6" t="str">
        <f>HYPERLINK("https://archive.ph/o/kCXAs/https://web-beta.archive.org/web/20130315140312/http://clopfic.heroku.com/fics/505", "SpikeLight")</f>
        <v>SpikeLight</v>
      </c>
      <c r="E840" s="7" t="s">
        <v>44</v>
      </c>
      <c r="H840" s="8" t="s">
        <v>885</v>
      </c>
      <c r="I840" s="6" t="str">
        <f>HYPERLINK("https://archive.ph/o/kCXAs/https://web-beta.archive.org/web/20130315140312/http://clopfic.heroku.com/authors/71", "StreakTheFox")</f>
        <v>StreakTheFox</v>
      </c>
      <c r="J840" s="7" t="s">
        <v>39</v>
      </c>
      <c r="R840" s="7" t="s">
        <v>66</v>
      </c>
      <c r="AG840" s="9">
        <v>40814.0</v>
      </c>
      <c r="AH840" s="9">
        <v>40814.0</v>
      </c>
    </row>
    <row r="841">
      <c r="A841" s="6" t="str">
        <f>HYPERLINK("https://archive.ph/o/kCXAs/https://web-beta.archive.org/web/20130315140312/http://clopfic.heroku.com/fics/503", "Pattycakes")</f>
        <v>Pattycakes</v>
      </c>
      <c r="D841" s="7" t="s">
        <v>37</v>
      </c>
      <c r="E841" s="7" t="s">
        <v>44</v>
      </c>
      <c r="H841" s="8" t="s">
        <v>886</v>
      </c>
      <c r="I841" s="6" t="str">
        <f>HYPERLINK("https://archive.ph/o/kCXAs/https://web-beta.archive.org/web/20130315140312/http://clopfic.heroku.com/authors/183", "Pegacorn Ondacob")</f>
        <v>Pegacorn Ondacob</v>
      </c>
      <c r="M841" s="7" t="s">
        <v>56</v>
      </c>
      <c r="N841" s="7" t="s">
        <v>47</v>
      </c>
      <c r="O841" s="7" t="s">
        <v>51</v>
      </c>
      <c r="T841" s="7" t="s">
        <v>59</v>
      </c>
      <c r="AG841" s="9">
        <v>40813.0</v>
      </c>
      <c r="AH841" s="9">
        <v>40813.0</v>
      </c>
    </row>
    <row r="842">
      <c r="A842" s="6" t="str">
        <f>HYPERLINK("https://archive.ph/o/kCXAs/https://web-beta.archive.org/web/20130315140312/http://clopfic.heroku.com/fics/501", "Who's ready to party hard?")</f>
        <v>Who's ready to party hard?</v>
      </c>
      <c r="C842" s="7" t="s">
        <v>54</v>
      </c>
      <c r="E842" s="7" t="s">
        <v>44</v>
      </c>
      <c r="H842" s="8" t="s">
        <v>887</v>
      </c>
      <c r="I842" s="6" t="str">
        <f>HYPERLINK("https://archive.ph/o/kCXAs/https://web-beta.archive.org/web/20130315140312/http://clopfic.heroku.com/authors/181", "Wenseph")</f>
        <v>Wenseph</v>
      </c>
      <c r="M842" s="7" t="s">
        <v>56</v>
      </c>
      <c r="Z842" s="7" t="s">
        <v>40</v>
      </c>
      <c r="AE842" s="7" t="s">
        <v>43</v>
      </c>
      <c r="AG842" s="9">
        <v>40812.0</v>
      </c>
      <c r="AH842" s="9">
        <v>40812.0</v>
      </c>
    </row>
    <row r="843">
      <c r="A843" s="6" t="str">
        <f>HYPERLINK("https://archive.ph/o/kCXAs/https://web-beta.archive.org/web/20130315140312/http://clopfic.heroku.com/fics/496", "Happy Ending")</f>
        <v>Happy Ending</v>
      </c>
      <c r="C843" s="7" t="s">
        <v>54</v>
      </c>
      <c r="H843" s="8" t="s">
        <v>888</v>
      </c>
      <c r="I843" s="6" t="str">
        <f>HYPERLINK("https://archive.ph/o/kCXAs/https://web-beta.archive.org/web/20130315140312/http://clopfic.heroku.com/authors/1", "RagingSemi")</f>
        <v>RagingSemi</v>
      </c>
      <c r="J843" s="7" t="s">
        <v>39</v>
      </c>
      <c r="W843" s="7" t="s">
        <v>69</v>
      </c>
      <c r="Z843" s="7" t="s">
        <v>40</v>
      </c>
      <c r="AE843" s="7" t="s">
        <v>43</v>
      </c>
      <c r="AG843" s="9">
        <v>40810.0</v>
      </c>
      <c r="AH843" s="9">
        <v>40810.0</v>
      </c>
    </row>
    <row r="844">
      <c r="A844" s="6" t="str">
        <f>HYPERLINK("https://archive.ph/o/kCXAs/https://web-beta.archive.org/web/20130315140312/http://clopfic.heroku.com/fics/268", "Pinkie's Porntastic Bondage")</f>
        <v>Pinkie's Porntastic Bondage</v>
      </c>
      <c r="D844" s="7" t="s">
        <v>37</v>
      </c>
      <c r="F844" s="7" t="s">
        <v>52</v>
      </c>
      <c r="H844" s="8" t="s">
        <v>889</v>
      </c>
      <c r="I844" s="6" t="str">
        <f>HYPERLINK("https://archive.ph/o/kCXAs/https://web-beta.archive.org/web/20130315140312/http://clopfic.heroku.com/authors/1229", "Phats777")</f>
        <v>Phats777</v>
      </c>
      <c r="J844" s="7" t="s">
        <v>39</v>
      </c>
      <c r="K844" s="7" t="s">
        <v>49</v>
      </c>
      <c r="L844" s="7" t="s">
        <v>62</v>
      </c>
      <c r="M844" s="7" t="s">
        <v>56</v>
      </c>
      <c r="N844" s="7" t="s">
        <v>47</v>
      </c>
      <c r="O844" s="7" t="s">
        <v>51</v>
      </c>
      <c r="R844" s="7" t="s">
        <v>66</v>
      </c>
      <c r="S844" s="7" t="s">
        <v>68</v>
      </c>
      <c r="V844" s="7" t="s">
        <v>71</v>
      </c>
      <c r="Z844" s="7" t="s">
        <v>40</v>
      </c>
      <c r="AF844" s="7" t="s">
        <v>41</v>
      </c>
      <c r="AG844" s="9">
        <v>40728.0</v>
      </c>
      <c r="AH844" s="9">
        <v>40808.0</v>
      </c>
    </row>
    <row r="845">
      <c r="A845" s="6" t="str">
        <f>HYPERLINK("https://archive.ph/o/kCXAs/https://web-beta.archive.org/web/20130315140312/http://clopfic.heroku.com/fics/492", "Bibliophile")</f>
        <v>Bibliophile</v>
      </c>
      <c r="H845" s="8" t="s">
        <v>890</v>
      </c>
      <c r="I845" s="6" t="str">
        <f>HYPERLINK("https://archive.ph/o/kCXAs/https://web-beta.archive.org/web/20130315140312/http://clopfic.heroku.com/authors/1", "RagingSemi")</f>
        <v>RagingSemi</v>
      </c>
      <c r="J845" s="7" t="s">
        <v>39</v>
      </c>
      <c r="AG845" s="9">
        <v>40807.0</v>
      </c>
      <c r="AH845" s="9">
        <v>40807.0</v>
      </c>
    </row>
    <row r="846">
      <c r="A846" s="6" t="str">
        <f>HYPERLINK("https://archive.ph/o/kCXAs/https://web-beta.archive.org/web/20130315140312/http://clopfic.heroku.com/fics/491", "CelestiaxDoor")</f>
        <v>CelestiaxDoor</v>
      </c>
      <c r="H846" s="8" t="s">
        <v>891</v>
      </c>
      <c r="I846" s="6" t="str">
        <f>HYPERLINK("https://archive.ph/o/kCXAs/https://web-beta.archive.org/web/20130315140312/http://clopfic.heroku.com/authors/172", "tsutsifrutsi")</f>
        <v>tsutsifrutsi</v>
      </c>
      <c r="P846" s="7" t="s">
        <v>64</v>
      </c>
      <c r="Q846" s="7" t="s">
        <v>65</v>
      </c>
      <c r="AG846" s="9">
        <v>40807.0</v>
      </c>
      <c r="AH846" s="9">
        <v>40807.0</v>
      </c>
    </row>
    <row r="847">
      <c r="A847" s="6" t="str">
        <f>HYPERLINK("https://archive.ph/o/kCXAs/https://web-beta.archive.org/web/20130315140312/http://clopfic.heroku.com/fics/488", "Gilda's Sunny Side")</f>
        <v>Gilda's Sunny Side</v>
      </c>
      <c r="H847" s="8" t="s">
        <v>892</v>
      </c>
      <c r="I847" s="6" t="str">
        <f t="shared" ref="I847:I848" si="31">HYPERLINK("https://archive.ph/o/kCXAs/https://web-beta.archive.org/web/20130315140312/http://clopfic.heroku.com/authors/1", "RagingSemi")</f>
        <v>RagingSemi</v>
      </c>
      <c r="Y847" s="7" t="s">
        <v>184</v>
      </c>
      <c r="AG847" s="9">
        <v>40806.0</v>
      </c>
      <c r="AH847" s="9">
        <v>40806.0</v>
      </c>
    </row>
    <row r="848">
      <c r="A848" s="6" t="str">
        <f>HYPERLINK("https://archive.ph/o/kCXAs/https://web-beta.archive.org/web/20130315140312/http://clopfic.heroku.com/fics/487", "Winter Rape Up")</f>
        <v>Winter Rape Up</v>
      </c>
      <c r="B848" s="7" t="s">
        <v>36</v>
      </c>
      <c r="C848" s="7" t="s">
        <v>54</v>
      </c>
      <c r="H848" s="8" t="s">
        <v>893</v>
      </c>
      <c r="I848" s="6" t="str">
        <f t="shared" si="31"/>
        <v>RagingSemi</v>
      </c>
      <c r="J848" s="7" t="s">
        <v>39</v>
      </c>
      <c r="K848" s="7" t="s">
        <v>49</v>
      </c>
      <c r="L848" s="7" t="s">
        <v>62</v>
      </c>
      <c r="M848" s="7" t="s">
        <v>56</v>
      </c>
      <c r="N848" s="7" t="s">
        <v>47</v>
      </c>
      <c r="O848" s="7" t="s">
        <v>51</v>
      </c>
      <c r="T848" s="7" t="s">
        <v>59</v>
      </c>
      <c r="U848" s="7" t="s">
        <v>60</v>
      </c>
      <c r="V848" s="7" t="s">
        <v>71</v>
      </c>
      <c r="Z848" s="7" t="s">
        <v>40</v>
      </c>
      <c r="AB848" s="7" t="s">
        <v>101</v>
      </c>
      <c r="AC848" s="7" t="s">
        <v>102</v>
      </c>
      <c r="AE848" s="7" t="s">
        <v>43</v>
      </c>
      <c r="AG848" s="9">
        <v>40806.0</v>
      </c>
      <c r="AH848" s="9">
        <v>40806.0</v>
      </c>
    </row>
    <row r="849">
      <c r="A849" s="6" t="str">
        <f>HYPERLINK("https://archive.ph/o/kCXAs/https://web-beta.archive.org/web/20130315140312/http://clopfic.heroku.com/fics/486", "Hard Day's Work")</f>
        <v>Hard Day's Work</v>
      </c>
      <c r="C849" s="7" t="s">
        <v>54</v>
      </c>
      <c r="E849" s="7" t="s">
        <v>44</v>
      </c>
      <c r="H849" s="8" t="s">
        <v>894</v>
      </c>
      <c r="I849" s="6" t="str">
        <f>HYPERLINK("https://archive.ph/o/kCXAs/https://web-beta.archive.org/web/20130315140312/http://clopfic.heroku.com/authors/170", "Okie Dokie Low Key")</f>
        <v>Okie Dokie Low Key</v>
      </c>
      <c r="Z849" s="7" t="s">
        <v>40</v>
      </c>
      <c r="AA849" s="7" t="s">
        <v>113</v>
      </c>
      <c r="AF849" s="7" t="s">
        <v>41</v>
      </c>
      <c r="AG849" s="9">
        <v>40806.0</v>
      </c>
      <c r="AH849" s="9">
        <v>40806.0</v>
      </c>
    </row>
    <row r="850">
      <c r="A850" s="6" t="str">
        <f>HYPERLINK("https://archive.ph/o/kCXAs/https://web-beta.archive.org/web/20130315140312/http://clopfic.heroku.com/fics/485", "The Legend Of Scootapple Parts 1-3")</f>
        <v>The Legend Of Scootapple Parts 1-3</v>
      </c>
      <c r="B850" s="7" t="s">
        <v>36</v>
      </c>
      <c r="D850" s="7" t="s">
        <v>37</v>
      </c>
      <c r="H850" s="8" t="s">
        <v>895</v>
      </c>
      <c r="I850" s="6" t="str">
        <f>HYPERLINK("https://archive.ph/o/kCXAs/https://web-beta.archive.org/web/20130315140312/http://clopfic.heroku.com/authors/169", "DEATHCORE_Funnyjunk")</f>
        <v>DEATHCORE_Funnyjunk</v>
      </c>
      <c r="J850" s="7" t="s">
        <v>39</v>
      </c>
      <c r="K850" s="7" t="s">
        <v>49</v>
      </c>
      <c r="R850" s="7" t="s">
        <v>66</v>
      </c>
      <c r="S850" s="7" t="s">
        <v>68</v>
      </c>
      <c r="T850" s="7" t="s">
        <v>59</v>
      </c>
      <c r="U850" s="7" t="s">
        <v>60</v>
      </c>
      <c r="V850" s="7" t="s">
        <v>71</v>
      </c>
      <c r="W850" s="7" t="s">
        <v>69</v>
      </c>
      <c r="Z850" s="7" t="s">
        <v>40</v>
      </c>
      <c r="AF850" s="7" t="s">
        <v>41</v>
      </c>
      <c r="AG850" s="9">
        <v>40806.0</v>
      </c>
      <c r="AH850" s="9">
        <v>40806.0</v>
      </c>
    </row>
    <row r="851">
      <c r="A851" s="6" t="str">
        <f>HYPERLINK("https://archive.ph/o/kCXAs/https://web-beta.archive.org/web/20130315140312/http://clopfic.heroku.com/fics/484", "Cumcakes")</f>
        <v>Cumcakes</v>
      </c>
      <c r="B851" s="7" t="s">
        <v>36</v>
      </c>
      <c r="D851" s="7" t="s">
        <v>37</v>
      </c>
      <c r="H851" s="8" t="s">
        <v>896</v>
      </c>
      <c r="I851" s="6" t="str">
        <f>HYPERLINK("https://archive.ph/o/kCXAs/https://web-beta.archive.org/web/20130315140312/http://clopfic.heroku.com/authors/1", "RagingSemi")</f>
        <v>RagingSemi</v>
      </c>
      <c r="S851" s="7" t="s">
        <v>68</v>
      </c>
      <c r="T851" s="7" t="s">
        <v>59</v>
      </c>
      <c r="AG851" s="9">
        <v>40805.0</v>
      </c>
      <c r="AH851" s="9">
        <v>40805.0</v>
      </c>
    </row>
    <row r="852">
      <c r="A852" s="6" t="str">
        <f>HYPERLINK("https://archive.ph/o/kCXAs/https://web-beta.archive.org/web/20130315140312/http://clopfic.heroku.com/fics/483", "A Great And Powerful Pet")</f>
        <v>A Great And Powerful Pet</v>
      </c>
      <c r="D852" s="7" t="s">
        <v>37</v>
      </c>
      <c r="E852" s="7" t="s">
        <v>44</v>
      </c>
      <c r="H852" s="8" t="s">
        <v>897</v>
      </c>
      <c r="I852" s="6" t="str">
        <f>HYPERLINK("https://archive.ph/o/kCXAs/https://web-beta.archive.org/web/20130315140312/http://clopfic.heroku.com/authors/168", "Ragnarokia")</f>
        <v>Ragnarokia</v>
      </c>
      <c r="J852" s="7" t="s">
        <v>39</v>
      </c>
      <c r="Q852" s="7" t="s">
        <v>65</v>
      </c>
      <c r="W852" s="7" t="s">
        <v>69</v>
      </c>
      <c r="AG852" s="9">
        <v>40805.0</v>
      </c>
      <c r="AH852" s="9">
        <v>40805.0</v>
      </c>
    </row>
    <row r="853">
      <c r="A853" s="6" t="str">
        <f>HYPERLINK("https://archive.ph/o/kCXAs/https://web-beta.archive.org/web/20130315140312/http://clopfic.heroku.com/fics/482", "Celestia's Precious")</f>
        <v>Celestia's Precious</v>
      </c>
      <c r="H853" s="8" t="s">
        <v>898</v>
      </c>
      <c r="I853" s="6" t="str">
        <f>HYPERLINK("https://archive.ph/o/kCXAs/https://web-beta.archive.org/web/20130315140312/http://clopfic.heroku.com/authors/171", "HBM")</f>
        <v>HBM</v>
      </c>
      <c r="P853" s="7" t="s">
        <v>64</v>
      </c>
      <c r="AG853" s="9">
        <v>40805.0</v>
      </c>
      <c r="AH853" s="9">
        <v>40805.0</v>
      </c>
    </row>
    <row r="854">
      <c r="A854" s="6" t="str">
        <f>HYPERLINK("https://archive.ph/o/kCXAs/https://web-beta.archive.org/web/20130315140312/http://clopfic.heroku.com/fics/480", "Chocolate and Champagne")</f>
        <v>Chocolate and Champagne</v>
      </c>
      <c r="D854" s="7" t="s">
        <v>37</v>
      </c>
      <c r="H854" s="8" t="s">
        <v>899</v>
      </c>
      <c r="I854" s="6" t="str">
        <f>HYPERLINK("https://archive.ph/o/kCXAs/https://web-beta.archive.org/web/20130315140312/http://clopfic.heroku.com/authors/166", "Crepuscula")</f>
        <v>Crepuscula</v>
      </c>
      <c r="K854" s="7" t="s">
        <v>49</v>
      </c>
      <c r="N854" s="7" t="s">
        <v>47</v>
      </c>
      <c r="AG854" s="9">
        <v>40803.0</v>
      </c>
      <c r="AH854" s="9">
        <v>40803.0</v>
      </c>
    </row>
    <row r="855">
      <c r="A855" s="6" t="str">
        <f>HYPERLINK("https://archive.ph/o/kCXAs/https://web-beta.archive.org/web/20130315140312/http://clopfic.heroku.com/fics/218", "Rarity's Generous Plan")</f>
        <v>Rarity's Generous Plan</v>
      </c>
      <c r="B855" s="7" t="s">
        <v>36</v>
      </c>
      <c r="H855" s="8" t="s">
        <v>900</v>
      </c>
      <c r="I855" s="6" t="str">
        <f>HYPERLINK("https://archive.ph/o/kCXAs/https://web-beta.archive.org/web/20130315140312/http://clopfic.heroku.com/authors/67", "Tozac")</f>
        <v>Tozac</v>
      </c>
      <c r="J855" s="7" t="s">
        <v>39</v>
      </c>
      <c r="K855" s="7" t="s">
        <v>49</v>
      </c>
      <c r="L855" s="7" t="s">
        <v>62</v>
      </c>
      <c r="M855" s="7" t="s">
        <v>56</v>
      </c>
      <c r="N855" s="7" t="s">
        <v>47</v>
      </c>
      <c r="O855" s="7" t="s">
        <v>51</v>
      </c>
      <c r="V855" s="7" t="s">
        <v>71</v>
      </c>
      <c r="Z855" s="7" t="s">
        <v>40</v>
      </c>
      <c r="AC855" s="7" t="s">
        <v>102</v>
      </c>
      <c r="AE855" s="7" t="s">
        <v>43</v>
      </c>
      <c r="AF855" s="7" t="s">
        <v>41</v>
      </c>
      <c r="AG855" s="9">
        <v>40771.0</v>
      </c>
      <c r="AH855" s="9">
        <v>40802.0</v>
      </c>
    </row>
    <row r="856">
      <c r="A856" s="6" t="str">
        <f>HYPERLINK("https://archive.ph/o/kCXAs/https://web-beta.archive.org/web/20130315140312/http://clopfic.heroku.com/fics/479", "Magnetic Personalities")</f>
        <v>Magnetic Personalities</v>
      </c>
      <c r="H856" s="8" t="s">
        <v>901</v>
      </c>
      <c r="I856" s="6" t="str">
        <f>HYPERLINK("https://archive.ph/o/kCXAs/https://web-beta.archive.org/web/20130315140312/http://clopfic.heroku.com/authors/165", "pinkiepie")</f>
        <v>pinkiepie</v>
      </c>
      <c r="Z856" s="7" t="s">
        <v>40</v>
      </c>
      <c r="AE856" s="7" t="s">
        <v>43</v>
      </c>
      <c r="AG856" s="9">
        <v>40801.0</v>
      </c>
      <c r="AH856" s="9">
        <v>40801.0</v>
      </c>
    </row>
    <row r="857">
      <c r="A857" s="6" t="str">
        <f>HYPERLINK("https://archive.ph/o/kCXAs/https://web-beta.archive.org/web/20130315140312/http://clopfic.heroku.com/fics/478", "Perfectly Framed")</f>
        <v>Perfectly Framed</v>
      </c>
      <c r="C857" s="7" t="s">
        <v>54</v>
      </c>
      <c r="E857" s="7" t="s">
        <v>44</v>
      </c>
      <c r="H857" s="8" t="s">
        <v>902</v>
      </c>
      <c r="I857" s="6" t="str">
        <f>HYPERLINK("https://archive.ph/o/kCXAs/https://web-beta.archive.org/web/20130315140312/http://clopfic.heroku.com/authors/164", "Aurora Wave")</f>
        <v>Aurora Wave</v>
      </c>
      <c r="K857" s="7" t="s">
        <v>49</v>
      </c>
      <c r="O857" s="7" t="s">
        <v>51</v>
      </c>
      <c r="AG857" s="9">
        <v>40801.0</v>
      </c>
      <c r="AH857" s="9">
        <v>40801.0</v>
      </c>
    </row>
    <row r="858">
      <c r="A858" s="6" t="str">
        <f>HYPERLINK("https://archive.ph/o/kCXAs/https://web-beta.archive.org/web/20130315140312/http://clopfic.heroku.com/fics/475", "A Warm Summer's Night")</f>
        <v>A Warm Summer's Night</v>
      </c>
      <c r="D858" s="7" t="s">
        <v>37</v>
      </c>
      <c r="H858" s="8" t="s">
        <v>903</v>
      </c>
      <c r="I858" s="6" t="str">
        <f>HYPERLINK("https://archive.ph/o/kCXAs/https://web-beta.archive.org/web/20130315140312/http://clopfic.heroku.com/authors/135", "yawg07")</f>
        <v>yawg07</v>
      </c>
      <c r="Z858" s="7" t="s">
        <v>40</v>
      </c>
      <c r="AB858" s="7" t="s">
        <v>101</v>
      </c>
      <c r="AC858" s="7" t="s">
        <v>102</v>
      </c>
      <c r="AG858" s="9">
        <v>40800.0</v>
      </c>
      <c r="AH858" s="9">
        <v>40800.0</v>
      </c>
    </row>
    <row r="859">
      <c r="A859" s="6" t="str">
        <f>HYPERLINK("https://archive.ph/o/kCXAs/https://web-beta.archive.org/web/20130315140312/http://clopfic.heroku.com/fics/474", "Zecora's Diary")</f>
        <v>Zecora's Diary</v>
      </c>
      <c r="H859" s="8" t="s">
        <v>904</v>
      </c>
      <c r="I859" s="6" t="str">
        <f>HYPERLINK("https://archive.ph/o/kCXAs/https://web-beta.archive.org/web/20130315140312/http://clopfic.heroku.com/authors/66", "Cloppyhooves")</f>
        <v>Cloppyhooves</v>
      </c>
      <c r="J859" s="7" t="s">
        <v>39</v>
      </c>
      <c r="X859" s="7" t="s">
        <v>107</v>
      </c>
      <c r="AG859" s="9">
        <v>40799.0</v>
      </c>
      <c r="AH859" s="9">
        <v>40799.0</v>
      </c>
    </row>
    <row r="860">
      <c r="A860" s="6" t="str">
        <f>HYPERLINK("https://archive.ph/o/kCXAs/https://web-beta.archive.org/web/20130315140312/http://clopfic.heroku.com/fics/473", "Wet and Wild")</f>
        <v>Wet and Wild</v>
      </c>
      <c r="H860" s="8" t="s">
        <v>905</v>
      </c>
      <c r="I860" s="6" t="str">
        <f>HYPERLINK("https://archive.ph/o/kCXAs/https://web-beta.archive.org/web/20130315140312/http://clopfic.heroku.com/authors/160", "Phantasizer")</f>
        <v>Phantasizer</v>
      </c>
      <c r="M860" s="7" t="s">
        <v>56</v>
      </c>
      <c r="Z860" s="7" t="s">
        <v>40</v>
      </c>
      <c r="AF860" s="7" t="s">
        <v>41</v>
      </c>
      <c r="AG860" s="9">
        <v>40799.0</v>
      </c>
      <c r="AH860" s="9">
        <v>40799.0</v>
      </c>
    </row>
    <row r="861">
      <c r="A861" s="6" t="str">
        <f>HYPERLINK("https://archive.ph/o/kCXAs/https://web-beta.archive.org/web/20130315140312/http://clopfic.heroku.com/fics/472", "Celestial")</f>
        <v>Celestial</v>
      </c>
      <c r="H861" s="8" t="s">
        <v>906</v>
      </c>
      <c r="I861" s="6" t="str">
        <f>HYPERLINK("https://archive.ph/o/kCXAs/https://web-beta.archive.org/web/20130315140312/http://clopfic.heroku.com/authors/148", "AppleloosanPsychiatrist")</f>
        <v>AppleloosanPsychiatrist</v>
      </c>
      <c r="P861" s="7" t="s">
        <v>64</v>
      </c>
      <c r="Z861" s="7" t="s">
        <v>40</v>
      </c>
      <c r="AF861" s="7" t="s">
        <v>41</v>
      </c>
      <c r="AG861" s="9">
        <v>40798.0</v>
      </c>
      <c r="AH861" s="9">
        <v>40798.0</v>
      </c>
    </row>
    <row r="862">
      <c r="A862" s="6" t="str">
        <f>HYPERLINK("https://archive.ph/o/kCXAs/https://web-beta.archive.org/web/20130315140312/http://clopfic.heroku.com/fics/471", "Page 23")</f>
        <v>Page 23</v>
      </c>
      <c r="H862" s="8" t="s">
        <v>907</v>
      </c>
      <c r="I862" s="6" t="str">
        <f>HYPERLINK("https://archive.ph/o/kCXAs/https://web-beta.archive.org/web/20130315140312/http://clopfic.heroku.com/authors/144", "Warp9")</f>
        <v>Warp9</v>
      </c>
      <c r="J862" s="7" t="s">
        <v>39</v>
      </c>
      <c r="R862" s="7" t="s">
        <v>66</v>
      </c>
      <c r="AG862" s="9">
        <v>40797.0</v>
      </c>
      <c r="AH862" s="9">
        <v>40797.0</v>
      </c>
    </row>
    <row r="863">
      <c r="A863" s="6" t="str">
        <f>HYPERLINK("https://archive.ph/o/kCXAs/https://web-beta.archive.org/web/20130315140312/http://clopfic.heroku.com/fics/470", "First And Last To Know")</f>
        <v>First And Last To Know</v>
      </c>
      <c r="H863" s="8" t="s">
        <v>908</v>
      </c>
      <c r="I863" s="6" t="str">
        <f>HYPERLINK("https://archive.ph/o/kCXAs/https://web-beta.archive.org/web/20130315140312/http://clopfic.heroku.com/authors/158", "Norm De Plume")</f>
        <v>Norm De Plume</v>
      </c>
      <c r="K863" s="7" t="s">
        <v>49</v>
      </c>
      <c r="O863" s="7" t="s">
        <v>51</v>
      </c>
      <c r="AG863" s="9">
        <v>40797.0</v>
      </c>
      <c r="AH863" s="9">
        <v>40797.0</v>
      </c>
    </row>
    <row r="864">
      <c r="A864" s="6" t="str">
        <f>HYPERLINK("https://archive.ph/o/kCXAs/https://web-beta.archive.org/web/20130315140312/http://clopfic.heroku.com/fics/469", "Making Sweet Music Together")</f>
        <v>Making Sweet Music Together</v>
      </c>
      <c r="H864" s="8" t="s">
        <v>909</v>
      </c>
      <c r="I864" s="6" t="str">
        <f>HYPERLINK("https://archive.ph/o/kCXAs/https://web-beta.archive.org/web/20130315140312/http://clopfic.heroku.com/authors/157", "Apocalypse Pony")</f>
        <v>Apocalypse Pony</v>
      </c>
      <c r="Z864" s="7" t="s">
        <v>40</v>
      </c>
      <c r="AE864" s="7" t="s">
        <v>43</v>
      </c>
      <c r="AG864" s="9">
        <v>40795.0</v>
      </c>
      <c r="AH864" s="9">
        <v>40795.0</v>
      </c>
    </row>
    <row r="865">
      <c r="A865" s="6" t="str">
        <f>HYPERLINK("https://archive.ph/o/kCXAs/https://web-beta.archive.org/web/20130315140312/http://clopfic.heroku.com/fics/468", "Blooming Apple")</f>
        <v>Blooming Apple</v>
      </c>
      <c r="C865" s="7" t="s">
        <v>54</v>
      </c>
      <c r="H865" s="8" t="s">
        <v>910</v>
      </c>
      <c r="I865" s="6" t="str">
        <f t="shared" ref="I865:I866" si="32">HYPERLINK("https://archive.ph/o/kCXAs/https://web-beta.archive.org/web/20130315140312/http://clopfic.heroku.com/authors/1", "RagingSemi")</f>
        <v>RagingSemi</v>
      </c>
      <c r="S865" s="7" t="s">
        <v>68</v>
      </c>
      <c r="V865" s="7" t="s">
        <v>71</v>
      </c>
      <c r="AG865" s="9">
        <v>40794.0</v>
      </c>
      <c r="AH865" s="9">
        <v>40794.0</v>
      </c>
    </row>
    <row r="866">
      <c r="A866" s="6" t="str">
        <f>HYPERLINK("https://archive.ph/o/kCXAs/https://web-beta.archive.org/web/20130315140312/http://clopfic.heroku.com/fics/467", "Big Mails")</f>
        <v>Big Mails</v>
      </c>
      <c r="H866" s="8" t="s">
        <v>911</v>
      </c>
      <c r="I866" s="6" t="str">
        <f t="shared" si="32"/>
        <v>RagingSemi</v>
      </c>
      <c r="V866" s="7" t="s">
        <v>71</v>
      </c>
      <c r="Z866" s="7" t="s">
        <v>40</v>
      </c>
      <c r="AE866" s="7" t="s">
        <v>43</v>
      </c>
      <c r="AG866" s="9">
        <v>40794.0</v>
      </c>
      <c r="AH866" s="9">
        <v>40794.0</v>
      </c>
    </row>
    <row r="867">
      <c r="A867" s="6" t="str">
        <f>HYPERLINK("https://archive.ph/o/kCXAs/https://web-beta.archive.org/web/20130315140312/http://clopfic.heroku.com/fics/466", "Dicks Everywhere 2: Penile Palooza")</f>
        <v>Dicks Everywhere 2: Penile Palooza</v>
      </c>
      <c r="D867" s="7" t="s">
        <v>37</v>
      </c>
      <c r="H867" s="8" t="s">
        <v>912</v>
      </c>
      <c r="I867" s="6" t="str">
        <f>HYPERLINK("https://archive.ph/o/kCXAs/https://web-beta.archive.org/web/20130315140312/http://clopfic.heroku.com/authors/78", "Plotospex")</f>
        <v>Plotospex</v>
      </c>
      <c r="J867" s="7" t="s">
        <v>39</v>
      </c>
      <c r="M867" s="7" t="s">
        <v>56</v>
      </c>
      <c r="N867" s="7" t="s">
        <v>47</v>
      </c>
      <c r="W867" s="7" t="s">
        <v>69</v>
      </c>
      <c r="AG867" s="9">
        <v>40794.0</v>
      </c>
      <c r="AH867" s="9">
        <v>40794.0</v>
      </c>
    </row>
    <row r="868">
      <c r="A868" s="6" t="str">
        <f>HYPERLINK("https://archive.ph/o/kCXAs/https://web-beta.archive.org/web/20130315140312/http://clopfic.heroku.com/fics/465", "You know what they say about cowboys")</f>
        <v>You know what they say about cowboys</v>
      </c>
      <c r="C868" s="7" t="s">
        <v>54</v>
      </c>
      <c r="H868" s="8" t="s">
        <v>913</v>
      </c>
      <c r="I868" s="6" t="str">
        <f>HYPERLINK("https://archive.ph/o/kCXAs/https://web-beta.archive.org/web/20130315140312/http://clopfic.heroku.com/authors/148", "AppleloosanPsychiatrist")</f>
        <v>AppleloosanPsychiatrist</v>
      </c>
      <c r="Z868" s="7" t="s">
        <v>40</v>
      </c>
      <c r="AE868" s="7" t="s">
        <v>43</v>
      </c>
      <c r="AF868" s="7" t="s">
        <v>41</v>
      </c>
      <c r="AG868" s="9">
        <v>40791.0</v>
      </c>
      <c r="AH868" s="9">
        <v>40791.0</v>
      </c>
    </row>
    <row r="869">
      <c r="A869" s="6" t="str">
        <f>HYPERLINK("https://archive.ph/o/kCXAs/https://web-beta.archive.org/web/20130315140312/http://clopfic.heroku.com/fics/462", "FlutterSpike (version 2)")</f>
        <v>FlutterSpike (version 2)</v>
      </c>
      <c r="H869" s="8" t="s">
        <v>914</v>
      </c>
      <c r="I869" s="6" t="str">
        <f>HYPERLINK("https://archive.ph/o/kCXAs/https://web-beta.archive.org/web/20130315140312/http://clopfic.heroku.com/authors/71", "StreakTheFox")</f>
        <v>StreakTheFox</v>
      </c>
      <c r="K869" s="7" t="s">
        <v>49</v>
      </c>
      <c r="R869" s="7" t="s">
        <v>66</v>
      </c>
      <c r="AG869" s="9">
        <v>40791.0</v>
      </c>
      <c r="AH869" s="9">
        <v>40791.0</v>
      </c>
    </row>
    <row r="870">
      <c r="A870" s="6" t="str">
        <f>HYPERLINK("https://archive.ph/o/kCXAs/https://web-beta.archive.org/web/20130315140312/http://clopfic.heroku.com/fics/459", "Twi and Me")</f>
        <v>Twi and Me</v>
      </c>
      <c r="C870" s="7" t="s">
        <v>54</v>
      </c>
      <c r="E870" s="7" t="s">
        <v>44</v>
      </c>
      <c r="H870" s="8" t="s">
        <v>915</v>
      </c>
      <c r="I870" s="6" t="str">
        <f>HYPERLINK("https://archive.ph/o/kCXAs/https://web-beta.archive.org/web/20130315140312/http://clopfic.heroku.com/authors/80", "Hotsauce")</f>
        <v>Hotsauce</v>
      </c>
      <c r="J870" s="7" t="s">
        <v>39</v>
      </c>
      <c r="Z870" s="7" t="s">
        <v>40</v>
      </c>
      <c r="AF870" s="7" t="s">
        <v>41</v>
      </c>
      <c r="AG870" s="9">
        <v>40790.0</v>
      </c>
      <c r="AH870" s="9">
        <v>40790.0</v>
      </c>
    </row>
    <row r="871">
      <c r="A871" s="6" t="str">
        <f>HYPERLINK("https://archive.ph/o/kCXAs/https://web-beta.archive.org/web/20130315140312/http://clopfic.heroku.com/fics/457", "Pinkamena Diane Pie's Shortcake")</f>
        <v>Pinkamena Diane Pie's Shortcake</v>
      </c>
      <c r="B871" s="7" t="s">
        <v>36</v>
      </c>
      <c r="C871" s="7" t="s">
        <v>54</v>
      </c>
      <c r="D871" s="7" t="s">
        <v>37</v>
      </c>
      <c r="H871" s="8" t="s">
        <v>916</v>
      </c>
      <c r="I871" s="6" t="str">
        <f>HYPERLINK("https://archive.ph/o/kCXAs/https://web-beta.archive.org/web/20130315140312/http://clopfic.heroku.com/authors/104", "Soashamedpony")</f>
        <v>Soashamedpony</v>
      </c>
      <c r="K871" s="7" t="s">
        <v>49</v>
      </c>
      <c r="Z871" s="7" t="s">
        <v>40</v>
      </c>
      <c r="AF871" s="7" t="s">
        <v>41</v>
      </c>
      <c r="AG871" s="9">
        <v>40790.0</v>
      </c>
      <c r="AH871" s="9">
        <v>40790.0</v>
      </c>
    </row>
    <row r="872">
      <c r="A872" s="6" t="str">
        <f>HYPERLINK("https://archive.ph/o/kCXAs/https://web-beta.archive.org/web/20130315140312/http://clopfic.heroku.com/fics/455", "Little House on the Quarry")</f>
        <v>Little House on the Quarry</v>
      </c>
      <c r="B872" s="7" t="s">
        <v>36</v>
      </c>
      <c r="H872" s="8" t="s">
        <v>917</v>
      </c>
      <c r="I872" s="6" t="str">
        <f>HYPERLINK("https://archive.ph/o/kCXAs/https://web-beta.archive.org/web/20130315140312/http://clopfic.heroku.com/authors/1", "RagingSemi")</f>
        <v>RagingSemi</v>
      </c>
      <c r="K872" s="7" t="s">
        <v>49</v>
      </c>
      <c r="AE872" s="7" t="s">
        <v>43</v>
      </c>
      <c r="AG872" s="9">
        <v>40789.0</v>
      </c>
      <c r="AH872" s="9">
        <v>40789.0</v>
      </c>
    </row>
    <row r="873">
      <c r="A873" s="6" t="str">
        <f>HYPERLINK("https://archive.ph/o/kCXAs/https://web-beta.archive.org/web/20130315140312/http://clopfic.heroku.com/fics/454", "FlutterSpike")</f>
        <v>FlutterSpike</v>
      </c>
      <c r="B873" s="7" t="s">
        <v>36</v>
      </c>
      <c r="H873" s="8" t="s">
        <v>918</v>
      </c>
      <c r="I873" s="6" t="str">
        <f>HYPERLINK("https://archive.ph/o/kCXAs/https://web-beta.archive.org/web/20130315140312/http://clopfic.heroku.com/authors/71", "StreakTheFox")</f>
        <v>StreakTheFox</v>
      </c>
      <c r="O873" s="7" t="s">
        <v>51</v>
      </c>
      <c r="R873" s="7" t="s">
        <v>66</v>
      </c>
      <c r="AG873" s="9">
        <v>40787.0</v>
      </c>
      <c r="AH873" s="9">
        <v>40787.0</v>
      </c>
    </row>
    <row r="874">
      <c r="A874" s="6" t="str">
        <f>HYPERLINK("https://archive.ph/o/kCXAs/https://web-beta.archive.org/web/20130315140312/http://clopfic.heroku.com/fics/453", "I'd Like To Be a Tree")</f>
        <v>I'd Like To Be a Tree</v>
      </c>
      <c r="D874" s="7" t="s">
        <v>37</v>
      </c>
      <c r="E874" s="7" t="s">
        <v>44</v>
      </c>
      <c r="H874" s="8" t="s">
        <v>919</v>
      </c>
      <c r="I874" s="6" t="str">
        <f>HYPERLINK("https://archive.ph/o/kCXAs/https://web-beta.archive.org/web/20130315140312/http://clopfic.heroku.com/authors/1250", "Totally_Not_Furry")</f>
        <v>Totally_Not_Furry</v>
      </c>
      <c r="J874" s="7" t="s">
        <v>39</v>
      </c>
      <c r="L874" s="7" t="s">
        <v>62</v>
      </c>
      <c r="O874" s="7" t="s">
        <v>51</v>
      </c>
      <c r="Z874" s="7" t="s">
        <v>40</v>
      </c>
      <c r="AF874" s="7" t="s">
        <v>41</v>
      </c>
      <c r="AG874" s="9">
        <v>40786.0</v>
      </c>
      <c r="AH874" s="9">
        <v>40786.0</v>
      </c>
    </row>
    <row r="875">
      <c r="A875" s="6" t="str">
        <f>HYPERLINK("https://archive.ph/o/kCXAs/https://web-beta.archive.org/web/20130315140312/http://clopfic.heroku.com/fics/451", "Sad days for a Rainbow")</f>
        <v>Sad days for a Rainbow</v>
      </c>
      <c r="D875" s="7" t="s">
        <v>37</v>
      </c>
      <c r="E875" s="7" t="s">
        <v>44</v>
      </c>
      <c r="H875" s="8" t="s">
        <v>920</v>
      </c>
      <c r="I875" s="6" t="str">
        <f>HYPERLINK("https://archive.ph/o/kCXAs/https://web-beta.archive.org/web/20130315140312/http://clopfic.heroku.com/authors/147", "M4ng0s, Xunos")</f>
        <v>M4ng0s, Xunos</v>
      </c>
      <c r="M875" s="7" t="s">
        <v>56</v>
      </c>
      <c r="O875" s="7" t="s">
        <v>51</v>
      </c>
      <c r="AG875" s="9">
        <v>40786.0</v>
      </c>
      <c r="AH875" s="9">
        <v>40786.0</v>
      </c>
    </row>
    <row r="876">
      <c r="A876" s="6" t="str">
        <f>HYPERLINK("https://archive.ph/o/kCXAs/https://web-beta.archive.org/web/20130315140312/http://clopfic.heroku.com/fics/450", "Girl, You’ll Be A Woman Soon")</f>
        <v>Girl, You’ll Be A Woman Soon</v>
      </c>
      <c r="C876" s="7" t="s">
        <v>54</v>
      </c>
      <c r="H876" s="8" t="s">
        <v>921</v>
      </c>
      <c r="I876" s="6" t="str">
        <f>HYPERLINK("https://archive.ph/o/kCXAs/https://web-beta.archive.org/web/20130315140312/http://clopfic.heroku.com/authors/1", "RagingSemi")</f>
        <v>RagingSemi</v>
      </c>
      <c r="U876" s="7" t="s">
        <v>60</v>
      </c>
      <c r="Z876" s="7" t="s">
        <v>40</v>
      </c>
      <c r="AE876" s="7" t="s">
        <v>43</v>
      </c>
      <c r="AG876" s="9">
        <v>40785.0</v>
      </c>
      <c r="AH876" s="9">
        <v>40785.0</v>
      </c>
    </row>
    <row r="877">
      <c r="A877" s="6" t="str">
        <f>HYPERLINK("https://archive.ph/o/kCXAs/https://web-beta.archive.org/web/20130315140312/http://clopfic.heroku.com/fics/449", "Feats of Magic")</f>
        <v>Feats of Magic</v>
      </c>
      <c r="C877" s="7" t="s">
        <v>54</v>
      </c>
      <c r="H877" s="8" t="s">
        <v>922</v>
      </c>
      <c r="I877" s="6" t="str">
        <f>HYPERLINK("https://archive.ph/o/kCXAs/https://web-beta.archive.org/web/20130315140312/http://clopfic.heroku.com/authors/81", "Co/smonaut petro/v/")</f>
        <v>Co/smonaut petro/v/</v>
      </c>
      <c r="M877" s="7" t="s">
        <v>56</v>
      </c>
      <c r="AG877" s="9">
        <v>40785.0</v>
      </c>
      <c r="AH877" s="9">
        <v>40785.0</v>
      </c>
    </row>
    <row r="878">
      <c r="A878" s="6" t="str">
        <f>HYPERLINK("https://archive.ph/o/kCXAs/https://web-beta.archive.org/web/20130315140312/http://clopfic.heroku.com/fics/448", "Scratchin' That Itch")</f>
        <v>Scratchin' That Itch</v>
      </c>
      <c r="H878" s="8" t="s">
        <v>923</v>
      </c>
      <c r="I878" s="6" t="str">
        <f>HYPERLINK("https://archive.ph/o/kCXAs/https://web-beta.archive.org/web/20130315140312/http://clopfic.heroku.com/authors/145", "Ziyan Hajimi")</f>
        <v>Ziyan Hajimi</v>
      </c>
      <c r="K878" s="7" t="s">
        <v>49</v>
      </c>
      <c r="O878" s="7" t="s">
        <v>51</v>
      </c>
      <c r="Z878" s="7" t="s">
        <v>40</v>
      </c>
      <c r="AE878" s="7" t="s">
        <v>43</v>
      </c>
      <c r="AG878" s="9">
        <v>40784.0</v>
      </c>
      <c r="AH878" s="9">
        <v>40784.0</v>
      </c>
    </row>
    <row r="879">
      <c r="A879" s="6" t="str">
        <f>HYPERLINK("https://archive.ph/o/kCXAs/https://web-beta.archive.org/web/20130315140312/http://clopfic.heroku.com/fics/447", "The Things We Need")</f>
        <v>The Things We Need</v>
      </c>
      <c r="E879" s="7" t="s">
        <v>44</v>
      </c>
      <c r="H879" s="8" t="s">
        <v>924</v>
      </c>
      <c r="I879" s="6" t="str">
        <f>HYPERLINK("https://archive.ph/o/kCXAs/https://web-beta.archive.org/web/20130315140312/http://clopfic.heroku.com/authors/108", "Pacce")</f>
        <v>Pacce</v>
      </c>
      <c r="Z879" s="7" t="s">
        <v>40</v>
      </c>
      <c r="AB879" s="7" t="s">
        <v>101</v>
      </c>
      <c r="AC879" s="7" t="s">
        <v>102</v>
      </c>
      <c r="AG879" s="9">
        <v>40783.0</v>
      </c>
      <c r="AH879" s="9">
        <v>40783.0</v>
      </c>
    </row>
    <row r="880">
      <c r="A880" s="6" t="str">
        <f>HYPERLINK("https://archive.ph/o/kCXAs/https://web-beta.archive.org/web/20130315140312/http://clopfic.heroku.com/fics/446", "Fluttering")</f>
        <v>Fluttering</v>
      </c>
      <c r="H880" s="8" t="s">
        <v>925</v>
      </c>
      <c r="I880" s="6" t="str">
        <f t="shared" ref="I880:I881" si="33">HYPERLINK("https://archive.ph/o/kCXAs/https://web-beta.archive.org/web/20130315140312/http://clopfic.heroku.com/authors/144", "Warp9")</f>
        <v>Warp9</v>
      </c>
      <c r="O880" s="7" t="s">
        <v>51</v>
      </c>
      <c r="Z880" s="7" t="s">
        <v>40</v>
      </c>
      <c r="AF880" s="7" t="s">
        <v>41</v>
      </c>
      <c r="AG880" s="9">
        <v>40783.0</v>
      </c>
      <c r="AH880" s="9">
        <v>40783.0</v>
      </c>
    </row>
    <row r="881">
      <c r="A881" s="6" t="str">
        <f>HYPERLINK("https://archive.ph/o/kCXAs/https://web-beta.archive.org/web/20130315140312/http://clopfic.heroku.com/fics/445", "Royal Business")</f>
        <v>Royal Business</v>
      </c>
      <c r="H881" s="8" t="s">
        <v>926</v>
      </c>
      <c r="I881" s="6" t="str">
        <f t="shared" si="33"/>
        <v>Warp9</v>
      </c>
      <c r="Q881" s="7" t="s">
        <v>65</v>
      </c>
      <c r="R881" s="7" t="s">
        <v>66</v>
      </c>
      <c r="AG881" s="9">
        <v>40783.0</v>
      </c>
      <c r="AH881" s="9">
        <v>40783.0</v>
      </c>
    </row>
    <row r="882">
      <c r="A882" s="6" t="str">
        <f>HYPERLINK("https://archive.ph/o/kCXAs/https://web-beta.archive.org/web/20130315140312/http://clopfic.heroku.com/fics/442", "Special Talents")</f>
        <v>Special Talents</v>
      </c>
      <c r="H882" s="8" t="s">
        <v>927</v>
      </c>
      <c r="I882" s="6" t="str">
        <f>HYPERLINK("https://archive.ph/o/kCXAs/https://web-beta.archive.org/web/20130315140312/http://clopfic.heroku.com/authors/1", "RagingSemi")</f>
        <v>RagingSemi</v>
      </c>
      <c r="W882" s="7" t="s">
        <v>69</v>
      </c>
      <c r="Z882" s="7" t="s">
        <v>40</v>
      </c>
      <c r="AE882" s="7" t="s">
        <v>43</v>
      </c>
      <c r="AG882" s="9">
        <v>40782.0</v>
      </c>
      <c r="AH882" s="9">
        <v>40782.0</v>
      </c>
    </row>
    <row r="883">
      <c r="A883" s="6" t="str">
        <f>HYPERLINK("https://archive.ph/o/kCXAs/https://web-beta.archive.org/web/20130315140312/http://clopfic.heroku.com/fics/441", "Packing")</f>
        <v>Packing</v>
      </c>
      <c r="D883" s="7" t="s">
        <v>37</v>
      </c>
      <c r="E883" s="7" t="s">
        <v>44</v>
      </c>
      <c r="H883" s="8" t="s">
        <v>928</v>
      </c>
      <c r="I883" s="6" t="str">
        <f>HYPERLINK("https://archive.ph/o/kCXAs/https://web-beta.archive.org/web/20130315140312/http://clopfic.heroku.com/authors/66", "Cloppyhooves")</f>
        <v>Cloppyhooves</v>
      </c>
      <c r="O883" s="7" t="s">
        <v>51</v>
      </c>
      <c r="V883" s="7" t="s">
        <v>71</v>
      </c>
      <c r="AG883" s="9">
        <v>40782.0</v>
      </c>
      <c r="AH883" s="9">
        <v>40782.0</v>
      </c>
    </row>
    <row r="884">
      <c r="A884" s="6" t="str">
        <f>HYPERLINK("https://archive.ph/o/kCXAs/https://web-beta.archive.org/web/20130315140312/http://clopfic.heroku.com/fics/439", "Study Sessions")</f>
        <v>Study Sessions</v>
      </c>
      <c r="D884" s="7" t="s">
        <v>37</v>
      </c>
      <c r="H884" s="8" t="s">
        <v>929</v>
      </c>
      <c r="I884" s="6" t="str">
        <f t="shared" ref="I884:I886" si="34">HYPERLINK("https://archive.ph/o/kCXAs/https://web-beta.archive.org/web/20130315140312/http://clopfic.heroku.com/authors/1", "RagingSemi")</f>
        <v>RagingSemi</v>
      </c>
      <c r="Q884" s="7" t="s">
        <v>65</v>
      </c>
      <c r="AG884" s="9">
        <v>40780.0</v>
      </c>
      <c r="AH884" s="9">
        <v>40780.0</v>
      </c>
    </row>
    <row r="885">
      <c r="A885" s="6" t="str">
        <f>HYPERLINK("https://archive.ph/o/kCXAs/https://web-beta.archive.org/web/20130315140312/http://clopfic.heroku.com/fics/438", "Swing Foals")</f>
        <v>Swing Foals</v>
      </c>
      <c r="D885" s="7" t="s">
        <v>37</v>
      </c>
      <c r="H885" s="8" t="s">
        <v>930</v>
      </c>
      <c r="I885" s="6" t="str">
        <f t="shared" si="34"/>
        <v>RagingSemi</v>
      </c>
      <c r="L885" s="7" t="s">
        <v>62</v>
      </c>
      <c r="V885" s="7" t="s">
        <v>71</v>
      </c>
      <c r="AG885" s="9">
        <v>40778.0</v>
      </c>
      <c r="AH885" s="9">
        <v>40778.0</v>
      </c>
    </row>
    <row r="886">
      <c r="A886" s="6" t="str">
        <f>HYPERLINK("https://archive.ph/o/kCXAs/https://web-beta.archive.org/web/20130315140312/http://clopfic.heroku.com/fics/437", "That’s Actually How They Do It")</f>
        <v>That’s Actually How They Do It</v>
      </c>
      <c r="H886" s="8" t="s">
        <v>931</v>
      </c>
      <c r="I886" s="6" t="str">
        <f t="shared" si="34"/>
        <v>RagingSemi</v>
      </c>
      <c r="R886" s="7" t="s">
        <v>66</v>
      </c>
      <c r="V886" s="7" t="s">
        <v>71</v>
      </c>
      <c r="AG886" s="9">
        <v>40778.0</v>
      </c>
      <c r="AH886" s="9">
        <v>40778.0</v>
      </c>
    </row>
    <row r="887">
      <c r="A887" s="6" t="str">
        <f>HYPERLINK("https://archive.ph/o/kCXAs/https://web-beta.archive.org/web/20130315140312/http://clopfic.heroku.com/fics/436", "Number Fifty")</f>
        <v>Number Fifty</v>
      </c>
      <c r="B887" s="7" t="s">
        <v>36</v>
      </c>
      <c r="H887" s="8" t="s">
        <v>932</v>
      </c>
      <c r="I887" s="6" t="str">
        <f>HYPERLINK("https://archive.ph/o/kCXAs/https://web-beta.archive.org/web/20130315140312/http://clopfic.heroku.com/authors/135", "yawg07")</f>
        <v>yawg07</v>
      </c>
      <c r="K887" s="7" t="s">
        <v>49</v>
      </c>
      <c r="T887" s="7" t="s">
        <v>59</v>
      </c>
      <c r="AG887" s="9">
        <v>40777.0</v>
      </c>
      <c r="AH887" s="9">
        <v>40777.0</v>
      </c>
    </row>
    <row r="888">
      <c r="A888" s="6" t="str">
        <f>HYPERLINK("https://archive.ph/o/kCXAs/https://web-beta.archive.org/web/20130315140312/http://clopfic.heroku.com/fics/435", "Day Dreaming")</f>
        <v>Day Dreaming</v>
      </c>
      <c r="H888" s="8" t="s">
        <v>933</v>
      </c>
      <c r="I888" s="6" t="str">
        <f>HYPERLINK("https://archive.ph/o/kCXAs/https://web-beta.archive.org/web/20130315140312/http://clopfic.heroku.com/authors/134", "DarkenedGhost")</f>
        <v>DarkenedGhost</v>
      </c>
      <c r="Z888" s="7" t="s">
        <v>40</v>
      </c>
      <c r="AE888" s="7" t="s">
        <v>43</v>
      </c>
      <c r="AG888" s="9">
        <v>40776.0</v>
      </c>
      <c r="AH888" s="9">
        <v>40776.0</v>
      </c>
    </row>
    <row r="889">
      <c r="A889" s="6" t="str">
        <f>HYPERLINK("https://archive.ph/o/kCXAs/https://web-beta.archive.org/web/20130315140312/http://clopfic.heroku.com/fics/434", "Big Mac Gets Around")</f>
        <v>Big Mac Gets Around</v>
      </c>
      <c r="F889" s="7" t="s">
        <v>52</v>
      </c>
      <c r="H889" s="8" t="s">
        <v>934</v>
      </c>
      <c r="I889" s="6" t="str">
        <f>HYPERLINK("https://archive.ph/o/kCXAs/https://web-beta.archive.org/web/20130315140312/http://clopfic.heroku.com/authors/133", "poiu")</f>
        <v>poiu</v>
      </c>
      <c r="J889" s="7" t="s">
        <v>39</v>
      </c>
      <c r="K889" s="7" t="s">
        <v>49</v>
      </c>
      <c r="L889" s="7" t="s">
        <v>62</v>
      </c>
      <c r="M889" s="7" t="s">
        <v>56</v>
      </c>
      <c r="N889" s="7" t="s">
        <v>47</v>
      </c>
      <c r="O889" s="7" t="s">
        <v>51</v>
      </c>
      <c r="V889" s="7" t="s">
        <v>71</v>
      </c>
      <c r="AG889" s="9">
        <v>40773.0</v>
      </c>
      <c r="AH889" s="9">
        <v>40773.0</v>
      </c>
    </row>
    <row r="890">
      <c r="A890" s="6" t="str">
        <f>HYPERLINK("https://archive.ph/o/kCXAs/https://web-beta.archive.org/web/20130315140312/http://clopfic.heroku.com/fics/433", "Desperate Measures")</f>
        <v>Desperate Measures</v>
      </c>
      <c r="H890" s="8" t="s">
        <v>77</v>
      </c>
      <c r="I890" s="6" t="str">
        <f>HYPERLINK("https://archive.ph/o/kCXAs/https://web-beta.archive.org/web/20130315140312/http://clopfic.heroku.com/authors/131", "BlueBlum")</f>
        <v>BlueBlum</v>
      </c>
      <c r="J890" s="7" t="s">
        <v>39</v>
      </c>
      <c r="R890" s="7" t="s">
        <v>66</v>
      </c>
      <c r="AG890" s="9">
        <v>40773.0</v>
      </c>
      <c r="AH890" s="9">
        <v>40773.0</v>
      </c>
    </row>
    <row r="891">
      <c r="A891" s="6" t="str">
        <f>HYPERLINK("https://archive.ph/o/kCXAs/https://web-beta.archive.org/web/20130315140312/http://clopfic.heroku.com/fics/432", "Blue Stallions")</f>
        <v>Blue Stallions</v>
      </c>
      <c r="D891" s="7" t="s">
        <v>37</v>
      </c>
      <c r="E891" s="7" t="s">
        <v>44</v>
      </c>
      <c r="F891" s="7" t="s">
        <v>52</v>
      </c>
      <c r="H891" s="8" t="s">
        <v>935</v>
      </c>
      <c r="I891" s="6" t="str">
        <f>HYPERLINK("https://archive.ph/o/kCXAs/https://web-beta.archive.org/web/20130315140312/http://clopfic.heroku.com/authors/130", "Pinkiederp")</f>
        <v>Pinkiederp</v>
      </c>
      <c r="Z891" s="7" t="s">
        <v>40</v>
      </c>
      <c r="AF891" s="7" t="s">
        <v>41</v>
      </c>
      <c r="AG891" s="9">
        <v>40773.0</v>
      </c>
      <c r="AH891" s="9">
        <v>40773.0</v>
      </c>
    </row>
    <row r="892">
      <c r="A892" s="6" t="str">
        <f>HYPERLINK("https://archive.ph/o/kCXAs/https://web-beta.archive.org/web/20130315140312/http://clopfic.heroku.com/fics/431", "Power Trip")</f>
        <v>Power Trip</v>
      </c>
      <c r="B892" s="7" t="s">
        <v>36</v>
      </c>
      <c r="H892" s="8" t="s">
        <v>936</v>
      </c>
      <c r="I892" s="6" t="str">
        <f>HYPERLINK("https://archive.ph/o/kCXAs/https://web-beta.archive.org/web/20130315140312/http://clopfic.heroku.com/authors/81", "Co/smonaut petro/v/")</f>
        <v>Co/smonaut petro/v/</v>
      </c>
      <c r="J892" s="7" t="s">
        <v>39</v>
      </c>
      <c r="W892" s="7" t="s">
        <v>69</v>
      </c>
      <c r="AG892" s="9">
        <v>40773.0</v>
      </c>
      <c r="AH892" s="9">
        <v>40773.0</v>
      </c>
    </row>
    <row r="893">
      <c r="A893" s="6" t="str">
        <f>HYPERLINK("https://archive.ph/o/kCXAs/https://web-beta.archive.org/web/20130315140312/http://clopfic.heroku.com/fics/216", "Our Last Goodbye")</f>
        <v>Our Last Goodbye</v>
      </c>
      <c r="E893" s="7" t="s">
        <v>44</v>
      </c>
      <c r="H893" s="8" t="s">
        <v>937</v>
      </c>
      <c r="I893" s="6" t="str">
        <f>HYPERLINK("https://archive.ph/o/kCXAs/https://web-beta.archive.org/web/20130315140312/http://clopfic.heroku.com/authors/1", "RagingSemi")</f>
        <v>RagingSemi</v>
      </c>
      <c r="J893" s="7" t="s">
        <v>39</v>
      </c>
      <c r="R893" s="7" t="s">
        <v>66</v>
      </c>
      <c r="AG893" s="9">
        <v>40771.0</v>
      </c>
      <c r="AH893" s="9">
        <v>40771.0</v>
      </c>
    </row>
    <row r="894">
      <c r="A894" s="6" t="str">
        <f>HYPERLINK("https://archive.ph/o/kCXAs/https://web-beta.archive.org/web/20130315140312/http://clopfic.heroku.com/fics/217", "Applebuckin'")</f>
        <v>Applebuckin'</v>
      </c>
      <c r="H894" s="8" t="s">
        <v>938</v>
      </c>
      <c r="I894" s="6" t="str">
        <f>HYPERLINK("https://archive.ph/o/kCXAs/https://web-beta.archive.org/web/20130315140312/http://clopfic.heroku.com/authors/66", "Cloppyhooves")</f>
        <v>Cloppyhooves</v>
      </c>
      <c r="L894" s="7" t="s">
        <v>62</v>
      </c>
      <c r="AG894" s="9">
        <v>40771.0</v>
      </c>
      <c r="AH894" s="9">
        <v>40771.0</v>
      </c>
    </row>
    <row r="895">
      <c r="A895" s="6" t="str">
        <f>HYPERLINK("https://archive.ph/o/kCXAs/https://web-beta.archive.org/web/20130315140312/http://clopfic.heroku.com/fics/219", "By the Book")</f>
        <v>By the Book</v>
      </c>
      <c r="D895" s="7" t="s">
        <v>37</v>
      </c>
      <c r="H895" s="8" t="s">
        <v>939</v>
      </c>
      <c r="I895" s="6" t="str">
        <f>HYPERLINK("https://archive.ph/o/kCXAs/https://web-beta.archive.org/web/20130315140312/http://clopfic.heroku.com/authors/68", "DarkJester")</f>
        <v>DarkJester</v>
      </c>
      <c r="J895" s="7" t="s">
        <v>39</v>
      </c>
      <c r="N895" s="7" t="s">
        <v>47</v>
      </c>
      <c r="AG895" s="9">
        <v>40770.0</v>
      </c>
      <c r="AH895" s="9">
        <v>40770.0</v>
      </c>
    </row>
    <row r="896">
      <c r="A896" s="6" t="str">
        <f>HYPERLINK("https://archive.ph/o/kCXAs/https://web-beta.archive.org/web/20130315140312/http://clopfic.heroku.com/fics/220", "Life Lessons")</f>
        <v>Life Lessons</v>
      </c>
      <c r="D896" s="7" t="s">
        <v>37</v>
      </c>
      <c r="H896" s="8" t="s">
        <v>940</v>
      </c>
      <c r="I896" s="6" t="str">
        <f>HYPERLINK("https://archive.ph/o/kCXAs/https://web-beta.archive.org/web/20130315140312/http://clopfic.heroku.com/authors/69", "Ataraxia")</f>
        <v>Ataraxia</v>
      </c>
      <c r="L896" s="7" t="s">
        <v>62</v>
      </c>
      <c r="V896" s="7" t="s">
        <v>71</v>
      </c>
      <c r="AG896" s="9">
        <v>40769.0</v>
      </c>
      <c r="AH896" s="9">
        <v>40769.0</v>
      </c>
    </row>
    <row r="897">
      <c r="A897" s="6" t="str">
        <f>HYPERLINK("https://archive.ph/o/kCXAs/https://web-beta.archive.org/web/20130315140312/http://clopfic.heroku.com/fics/221", "Princess' New Clop, The")</f>
        <v>Princess' New Clop, The</v>
      </c>
      <c r="H897" s="8" t="s">
        <v>941</v>
      </c>
      <c r="I897" s="6" t="str">
        <f>HYPERLINK("https://archive.ph/o/kCXAs/https://web-beta.archive.org/web/20130315140312/http://clopfic.heroku.com/authors/66", "Cloppyhooves")</f>
        <v>Cloppyhooves</v>
      </c>
      <c r="P897" s="7" t="s">
        <v>64</v>
      </c>
      <c r="Z897" s="7" t="s">
        <v>40</v>
      </c>
      <c r="AE897" s="7" t="s">
        <v>43</v>
      </c>
      <c r="AG897" s="9">
        <v>40769.0</v>
      </c>
      <c r="AH897" s="9">
        <v>40769.0</v>
      </c>
    </row>
    <row r="898">
      <c r="A898" s="6" t="str">
        <f>HYPERLINK("https://archive.ph/o/kCXAs/https://web-beta.archive.org/web/20130315140312/http://clopfic.heroku.com/fics/223", "Cheer and Kindness in Fluttershy's Cottage")</f>
        <v>Cheer and Kindness in Fluttershy's Cottage</v>
      </c>
      <c r="H898" s="8" t="s">
        <v>942</v>
      </c>
      <c r="I898" s="6" t="str">
        <f t="shared" ref="I898:I899" si="35">HYPERLINK("https://archive.ph/o/kCXAs/https://web-beta.archive.org/web/20130315140312/http://clopfic.heroku.com/authors/1", "RagingSemi")</f>
        <v>RagingSemi</v>
      </c>
      <c r="O898" s="7" t="s">
        <v>51</v>
      </c>
      <c r="Z898" s="7" t="s">
        <v>40</v>
      </c>
      <c r="AD898" s="7" t="s">
        <v>111</v>
      </c>
      <c r="AG898" s="9">
        <v>40765.0</v>
      </c>
      <c r="AH898" s="9">
        <v>40765.0</v>
      </c>
    </row>
    <row r="899">
      <c r="A899" s="6" t="str">
        <f>HYPERLINK("https://archive.ph/o/kCXAs/https://web-beta.archive.org/web/20130315140312/http://clopfic.heroku.com/fics/232", "Fun Bus to Manehattan")</f>
        <v>Fun Bus to Manehattan</v>
      </c>
      <c r="H899" s="8" t="s">
        <v>943</v>
      </c>
      <c r="I899" s="6" t="str">
        <f t="shared" si="35"/>
        <v>RagingSemi</v>
      </c>
      <c r="J899" s="7" t="s">
        <v>39</v>
      </c>
      <c r="K899" s="7" t="s">
        <v>49</v>
      </c>
      <c r="L899" s="7" t="s">
        <v>62</v>
      </c>
      <c r="M899" s="7" t="s">
        <v>56</v>
      </c>
      <c r="N899" s="7" t="s">
        <v>47</v>
      </c>
      <c r="O899" s="7" t="s">
        <v>51</v>
      </c>
      <c r="Z899" s="7" t="s">
        <v>40</v>
      </c>
      <c r="AE899" s="7" t="s">
        <v>43</v>
      </c>
      <c r="AF899" s="7" t="s">
        <v>41</v>
      </c>
      <c r="AG899" s="9">
        <v>40764.0</v>
      </c>
      <c r="AH899" s="9">
        <v>40764.0</v>
      </c>
    </row>
    <row r="900">
      <c r="A900" s="6" t="str">
        <f>HYPERLINK("https://archive.ph/o/kCXAs/https://web-beta.archive.org/web/20130315140312/http://clopfic.heroku.com/fics/234", "Southern Hospitality")</f>
        <v>Southern Hospitality</v>
      </c>
      <c r="H900" s="8" t="s">
        <v>944</v>
      </c>
      <c r="I900" s="6" t="str">
        <f t="shared" ref="I900:I901" si="36">HYPERLINK("https://archive.ph/o/kCXAs/https://web-beta.archive.org/web/20130315140312/http://clopfic.heroku.com/authors/66", "Cloppyhooves")</f>
        <v>Cloppyhooves</v>
      </c>
      <c r="V900" s="7" t="s">
        <v>71</v>
      </c>
      <c r="AG900" s="9">
        <v>40763.0</v>
      </c>
      <c r="AH900" s="9">
        <v>40763.0</v>
      </c>
    </row>
    <row r="901">
      <c r="A901" s="6" t="str">
        <f>HYPERLINK("https://archive.ph/o/kCXAs/https://web-beta.archive.org/web/20130315140312/http://clopfic.heroku.com/fics/237", "Equestrian Pie")</f>
        <v>Equestrian Pie</v>
      </c>
      <c r="H901" s="8" t="s">
        <v>945</v>
      </c>
      <c r="I901" s="6" t="str">
        <f t="shared" si="36"/>
        <v>Cloppyhooves</v>
      </c>
      <c r="K901" s="7" t="s">
        <v>49</v>
      </c>
      <c r="Z901" s="7" t="s">
        <v>40</v>
      </c>
      <c r="AF901" s="7" t="s">
        <v>41</v>
      </c>
      <c r="AG901" s="9">
        <v>40761.0</v>
      </c>
      <c r="AH901" s="9">
        <v>40761.0</v>
      </c>
    </row>
    <row r="902">
      <c r="A902" s="6" t="str">
        <f>HYPERLINK("https://archive.ph/o/kCXAs/https://web-beta.archive.org/web/20130315140312/http://clopfic.heroku.com/fics/236", "Derpy's Midnight Mail Service")</f>
        <v>Derpy's Midnight Mail Service</v>
      </c>
      <c r="B902" s="7" t="s">
        <v>36</v>
      </c>
      <c r="F902" s="7" t="s">
        <v>52</v>
      </c>
      <c r="H902" s="8" t="s">
        <v>946</v>
      </c>
      <c r="I902" s="6" t="str">
        <f t="shared" ref="I902:I903" si="37">HYPERLINK("https://archive.ph/o/kCXAs/https://web-beta.archive.org/web/20130315140312/http://clopfic.heroku.com/authors/74", "Dashie Lover")</f>
        <v>Dashie Lover</v>
      </c>
      <c r="J902" s="7" t="s">
        <v>39</v>
      </c>
      <c r="W902" s="7" t="s">
        <v>69</v>
      </c>
      <c r="Z902" s="7" t="s">
        <v>40</v>
      </c>
      <c r="AA902" s="7" t="s">
        <v>113</v>
      </c>
      <c r="AG902" s="9">
        <v>40761.0</v>
      </c>
      <c r="AH902" s="9">
        <v>40761.0</v>
      </c>
    </row>
    <row r="903">
      <c r="A903" s="6" t="str">
        <f>HYPERLINK("https://archive.ph/o/kCXAs/https://web-beta.archive.org/web/20130315140312/http://clopfic.heroku.com/fics/239", "MLP: Promise of Love")</f>
        <v>MLP: Promise of Love</v>
      </c>
      <c r="D903" s="7" t="s">
        <v>37</v>
      </c>
      <c r="H903" s="8" t="s">
        <v>947</v>
      </c>
      <c r="I903" s="6" t="str">
        <f t="shared" si="37"/>
        <v>Dashie Lover</v>
      </c>
      <c r="S903" s="7" t="s">
        <v>68</v>
      </c>
      <c r="Z903" s="7" t="s">
        <v>40</v>
      </c>
      <c r="AF903" s="7" t="s">
        <v>41</v>
      </c>
      <c r="AG903" s="9">
        <v>40758.0</v>
      </c>
      <c r="AH903" s="9">
        <v>40758.0</v>
      </c>
    </row>
    <row r="904">
      <c r="A904" s="6" t="str">
        <f>HYPERLINK("https://archive.ph/o/kCXAs/https://web-beta.archive.org/web/20130315140312/http://clopfic.heroku.com/fics/238", "When We Were Young")</f>
        <v>When We Were Young</v>
      </c>
      <c r="D904" s="7" t="s">
        <v>37</v>
      </c>
      <c r="H904" s="8" t="s">
        <v>948</v>
      </c>
      <c r="I904" s="6" t="str">
        <f>HYPERLINK("https://archive.ph/o/kCXAs/https://web-beta.archive.org/web/20130315140312/http://clopfic.heroku.com/authors/75", "Lordtetanus")</f>
        <v>Lordtetanus</v>
      </c>
      <c r="Z904" s="7" t="s">
        <v>40</v>
      </c>
      <c r="AE904" s="7" t="s">
        <v>43</v>
      </c>
      <c r="AG904" s="9">
        <v>40758.0</v>
      </c>
      <c r="AH904" s="9">
        <v>40758.0</v>
      </c>
    </row>
    <row r="905">
      <c r="A905" s="6" t="str">
        <f>HYPERLINK("https://archive.ph/o/kCXAs/https://web-beta.archive.org/web/20130315140312/http://clopfic.heroku.com/fics/240", "Ropes and Chocolate")</f>
        <v>Ropes and Chocolate</v>
      </c>
      <c r="B905" s="7" t="s">
        <v>36</v>
      </c>
      <c r="D905" s="7" t="s">
        <v>37</v>
      </c>
      <c r="H905" s="8" t="s">
        <v>949</v>
      </c>
      <c r="I905" s="6" t="str">
        <f>HYPERLINK("https://archive.ph/o/kCXAs/https://web-beta.archive.org/web/20130315140312/http://clopfic.heroku.com/authors/76", "Fickle")</f>
        <v>Fickle</v>
      </c>
      <c r="K905" s="7" t="s">
        <v>49</v>
      </c>
      <c r="M905" s="7" t="s">
        <v>56</v>
      </c>
      <c r="Z905" s="7" t="s">
        <v>40</v>
      </c>
      <c r="AF905" s="7" t="s">
        <v>41</v>
      </c>
      <c r="AG905" s="9">
        <v>40757.0</v>
      </c>
      <c r="AH905" s="9">
        <v>40757.0</v>
      </c>
    </row>
    <row r="906">
      <c r="A906" s="6" t="str">
        <f>HYPERLINK("https://archive.ph/o/kCXAs/https://web-beta.archive.org/web/20130315140312/http://clopfic.heroku.com/fics/242", "Dicks Everywhere")</f>
        <v>Dicks Everywhere</v>
      </c>
      <c r="D906" s="7" t="s">
        <v>37</v>
      </c>
      <c r="H906" s="8" t="s">
        <v>950</v>
      </c>
      <c r="I906" s="6" t="str">
        <f>HYPERLINK("https://archive.ph/o/kCXAs/https://web-beta.archive.org/web/20130315140312/http://clopfic.heroku.com/authors/78", "Plotospex")</f>
        <v>Plotospex</v>
      </c>
      <c r="J906" s="7" t="s">
        <v>39</v>
      </c>
      <c r="W906" s="7" t="s">
        <v>69</v>
      </c>
      <c r="AG906" s="9">
        <v>40756.0</v>
      </c>
      <c r="AH906" s="9">
        <v>40756.0</v>
      </c>
    </row>
    <row r="907">
      <c r="A907" s="6" t="str">
        <f>HYPERLINK("https://archive.ph/o/kCXAs/https://web-beta.archive.org/web/20130315140312/http://clopfic.heroku.com/fics/244", "More Civilized Slumber Party, A")</f>
        <v>More Civilized Slumber Party, A</v>
      </c>
      <c r="H907" s="8" t="s">
        <v>951</v>
      </c>
      <c r="I907" s="6" t="str">
        <f>HYPERLINK("https://archive.ph/o/kCXAs/https://web-beta.archive.org/web/20130315140312/http://clopfic.heroku.com/authors/79", "NTSTS")</f>
        <v>NTSTS</v>
      </c>
      <c r="L907" s="7" t="s">
        <v>62</v>
      </c>
      <c r="N907" s="7" t="s">
        <v>47</v>
      </c>
      <c r="AG907" s="9">
        <v>40753.0</v>
      </c>
      <c r="AH907" s="9">
        <v>40753.0</v>
      </c>
    </row>
    <row r="908">
      <c r="A908" s="6" t="str">
        <f>HYPERLINK("https://archive.ph/o/kCXAs/https://web-beta.archive.org/web/20130315140312/http://clopfic.heroku.com/fics/243", "Caramacjack")</f>
        <v>Caramacjack</v>
      </c>
      <c r="D908" s="7" t="s">
        <v>37</v>
      </c>
      <c r="H908" s="8" t="s">
        <v>952</v>
      </c>
      <c r="I908" s="6" t="str">
        <f>HYPERLINK("https://archive.ph/o/kCXAs/https://web-beta.archive.org/web/20130315140312/http://clopfic.heroku.com/authors/1", "RagingSemi")</f>
        <v>RagingSemi</v>
      </c>
      <c r="L908" s="7" t="s">
        <v>62</v>
      </c>
      <c r="V908" s="7" t="s">
        <v>71</v>
      </c>
      <c r="AG908" s="9">
        <v>40753.0</v>
      </c>
      <c r="AH908" s="9">
        <v>40753.0</v>
      </c>
    </row>
    <row r="909">
      <c r="A909" s="6" t="str">
        <f>HYPERLINK("https://archive.ph/o/kCXAs/https://web-beta.archive.org/web/20130315140312/http://clopfic.heroku.com/fics/245", "Foalin' Around 2 - Electric Scootaloo!")</f>
        <v>Foalin' Around 2 - Electric Scootaloo!</v>
      </c>
      <c r="C909" s="7" t="s">
        <v>54</v>
      </c>
      <c r="D909" s="7" t="s">
        <v>37</v>
      </c>
      <c r="E909" s="7" t="s">
        <v>44</v>
      </c>
      <c r="H909" s="8" t="s">
        <v>953</v>
      </c>
      <c r="I909" s="6" t="str">
        <f>HYPERLINK("https://archive.ph/o/kCXAs/https://web-beta.archive.org/web/20130315140312/http://clopfic.heroku.com/authors/80", "Hotsauce")</f>
        <v>Hotsauce</v>
      </c>
      <c r="T909" s="7" t="s">
        <v>59</v>
      </c>
      <c r="Z909" s="7" t="s">
        <v>40</v>
      </c>
      <c r="AF909" s="7" t="s">
        <v>41</v>
      </c>
      <c r="AG909" s="9">
        <v>40752.0</v>
      </c>
      <c r="AH909" s="9">
        <v>40752.0</v>
      </c>
    </row>
    <row r="910">
      <c r="A910" s="6" t="str">
        <f>HYPERLINK("https://archive.ph/o/kCXAs/https://web-beta.archive.org/web/20130315140312/http://clopfic.heroku.com/fics/246", "Hot Pink")</f>
        <v>Hot Pink</v>
      </c>
      <c r="H910" s="8" t="s">
        <v>954</v>
      </c>
      <c r="I910" s="6" t="str">
        <f>HYPERLINK("https://archive.ph/o/kCXAs/https://web-beta.archive.org/web/20130315140312/http://clopfic.heroku.com/authors/81", "Co/smonaut petro/v/")</f>
        <v>Co/smonaut petro/v/</v>
      </c>
      <c r="K910" s="7" t="s">
        <v>49</v>
      </c>
      <c r="M910" s="7" t="s">
        <v>56</v>
      </c>
      <c r="AG910" s="9">
        <v>40752.0</v>
      </c>
      <c r="AH910" s="9">
        <v>40752.0</v>
      </c>
    </row>
    <row r="911">
      <c r="A911" s="6" t="str">
        <f>HYPERLINK("https://archive.ph/o/kCXAs/https://web-beta.archive.org/web/20130315140312/http://clopfic.heroku.com/fics/247", "Tying the Knot")</f>
        <v>Tying the Knot</v>
      </c>
      <c r="D911" s="7" t="s">
        <v>37</v>
      </c>
      <c r="E911" s="7" t="s">
        <v>44</v>
      </c>
      <c r="H911" s="8" t="s">
        <v>955</v>
      </c>
      <c r="I911" s="6" t="str">
        <f>HYPERLINK("https://archive.ph/o/kCXAs/https://web-beta.archive.org/web/20130315140312/http://clopfic.heroku.com/authors/68", "DarkJester")</f>
        <v>DarkJester</v>
      </c>
      <c r="L911" s="7" t="s">
        <v>62</v>
      </c>
      <c r="M911" s="7" t="s">
        <v>56</v>
      </c>
      <c r="V911" s="7" t="s">
        <v>71</v>
      </c>
      <c r="AG911" s="9">
        <v>40752.0</v>
      </c>
      <c r="AH911" s="9">
        <v>40752.0</v>
      </c>
    </row>
    <row r="912">
      <c r="A912" s="6" t="str">
        <f>HYPERLINK("https://archive.ph/o/kCXAs/https://web-beta.archive.org/web/20130315140312/http://clopfic.heroku.com/fics/249", "Show Business")</f>
        <v>Show Business</v>
      </c>
      <c r="H912" s="8" t="s">
        <v>956</v>
      </c>
      <c r="I912" s="6" t="str">
        <f>HYPERLINK("https://archive.ph/o/kCXAs/https://web-beta.archive.org/web/20130315140312/http://clopfic.heroku.com/authors/79", "NTSTS")</f>
        <v>NTSTS</v>
      </c>
      <c r="Z912" s="7" t="s">
        <v>40</v>
      </c>
      <c r="AB912" s="7" t="s">
        <v>101</v>
      </c>
      <c r="AC912" s="7" t="s">
        <v>102</v>
      </c>
      <c r="AG912" s="9">
        <v>40751.0</v>
      </c>
      <c r="AH912" s="9">
        <v>40751.0</v>
      </c>
    </row>
    <row r="913">
      <c r="A913" s="6" t="str">
        <f>HYPERLINK("https://archive.ph/o/kCXAs/https://web-beta.archive.org/web/20130315140312/http://clopfic.heroku.com/fics/248", "Rapering 3: Ius Primae Noctisity")</f>
        <v>Rapering 3: Ius Primae Noctisity</v>
      </c>
      <c r="B913" s="7" t="s">
        <v>36</v>
      </c>
      <c r="H913" s="8" t="s">
        <v>957</v>
      </c>
      <c r="I913" s="6" t="str">
        <f>HYPERLINK("https://archive.ph/o/kCXAs/https://web-beta.archive.org/web/20130315140312/http://clopfic.heroku.com/authors/1", "RagingSemi")</f>
        <v>RagingSemi</v>
      </c>
      <c r="Z913" s="7" t="s">
        <v>40</v>
      </c>
      <c r="AF913" s="7" t="s">
        <v>41</v>
      </c>
      <c r="AG913" s="9">
        <v>40751.0</v>
      </c>
      <c r="AH913" s="9">
        <v>40751.0</v>
      </c>
    </row>
    <row r="914">
      <c r="A914" s="6" t="str">
        <f>HYPERLINK("https://archive.ph/o/kCXAs/https://web-beta.archive.org/web/20130315140312/http://clopfic.heroku.com/fics/250", "Jack of all Trades")</f>
        <v>Jack of all Trades</v>
      </c>
      <c r="D914" s="7" t="s">
        <v>37</v>
      </c>
      <c r="H914" s="8" t="s">
        <v>958</v>
      </c>
      <c r="I914" s="6" t="str">
        <f>HYPERLINK("https://archive.ph/o/kCXAs/https://web-beta.archive.org/web/20130315140312/http://clopfic.heroku.com/authors/81", "Co/smonaut petro/v/")</f>
        <v>Co/smonaut petro/v/</v>
      </c>
      <c r="L914" s="7" t="s">
        <v>62</v>
      </c>
      <c r="AG914" s="9">
        <v>40750.0</v>
      </c>
      <c r="AH914" s="9">
        <v>40750.0</v>
      </c>
    </row>
    <row r="915">
      <c r="A915" s="6" t="str">
        <f>HYPERLINK("https://archive.ph/o/kCXAs/https://web-beta.archive.org/web/20130315140312/http://clopfic.heroku.com/fics/251", "Unmovable")</f>
        <v>Unmovable</v>
      </c>
      <c r="E915" s="7" t="s">
        <v>44</v>
      </c>
      <c r="H915" s="8" t="s">
        <v>959</v>
      </c>
      <c r="I915" s="6" t="str">
        <f>HYPERLINK("https://archive.ph/o/kCXAs/https://web-beta.archive.org/web/20130315140312/http://clopfic.heroku.com/authors/1", "RagingSemi")</f>
        <v>RagingSemi</v>
      </c>
      <c r="M915" s="7" t="s">
        <v>56</v>
      </c>
      <c r="Z915" s="7" t="s">
        <v>40</v>
      </c>
      <c r="AF915" s="7" t="s">
        <v>41</v>
      </c>
      <c r="AG915" s="9">
        <v>40748.0</v>
      </c>
      <c r="AH915" s="9">
        <v>40748.0</v>
      </c>
    </row>
    <row r="916">
      <c r="A916" s="6" t="str">
        <f>HYPERLINK("https://archive.ph/o/kCXAs/https://web-beta.archive.org/web/20130315140312/http://clopfic.heroku.com/fics/253", "Unnecessary OC Yuri Time")</f>
        <v>Unnecessary OC Yuri Time</v>
      </c>
      <c r="H916" s="8" t="s">
        <v>960</v>
      </c>
      <c r="I916" s="6" t="str">
        <f>HYPERLINK("https://archive.ph/o/kCXAs/https://web-beta.archive.org/web/20130315140312/http://clopfic.heroku.com/authors/83", "Roy G. Biv")</f>
        <v>Roy G. Biv</v>
      </c>
      <c r="W916" s="7" t="s">
        <v>69</v>
      </c>
      <c r="Z916" s="7" t="s">
        <v>40</v>
      </c>
      <c r="AF916" s="7" t="s">
        <v>41</v>
      </c>
      <c r="AG916" s="9">
        <v>40747.0</v>
      </c>
      <c r="AH916" s="9">
        <v>40747.0</v>
      </c>
    </row>
    <row r="917">
      <c r="A917" s="6" t="str">
        <f>HYPERLINK("https://archive.ph/o/kCXAs/https://web-beta.archive.org/web/20130315140312/http://clopfic.heroku.com/fics/254", "Luna's Socks (Lime flavored)")</f>
        <v>Luna's Socks (Lime flavored)</v>
      </c>
      <c r="G917" s="7" t="s">
        <v>75</v>
      </c>
      <c r="H917" s="8" t="s">
        <v>961</v>
      </c>
      <c r="I917" s="6" t="str">
        <f>HYPERLINK("https://archive.ph/o/kCXAs/https://web-beta.archive.org/web/20130315140312/http://clopfic.heroku.com/authors/73", "Buttersc0tchSundae")</f>
        <v>Buttersc0tchSundae</v>
      </c>
      <c r="J917" s="7" t="s">
        <v>39</v>
      </c>
      <c r="Q917" s="7" t="s">
        <v>65</v>
      </c>
      <c r="AG917" s="9">
        <v>40746.0</v>
      </c>
      <c r="AH917" s="9">
        <v>40746.0</v>
      </c>
    </row>
    <row r="918">
      <c r="A918" s="6" t="str">
        <f>HYPERLINK("https://archive.ph/o/kCXAs/https://web-beta.archive.org/web/20130315140312/http://clopfic.heroku.com/fics/255", "Poner")</f>
        <v>Poner</v>
      </c>
      <c r="C918" s="7" t="s">
        <v>54</v>
      </c>
      <c r="H918" s="8" t="s">
        <v>962</v>
      </c>
      <c r="I918" s="6" t="str">
        <f>HYPERLINK("https://archive.ph/o/kCXAs/https://web-beta.archive.org/web/20130315140312/http://clopfic.heroku.com/authors/1", "RagingSemi")</f>
        <v>RagingSemi</v>
      </c>
      <c r="Z918" s="7" t="s">
        <v>40</v>
      </c>
      <c r="AB918" s="7" t="s">
        <v>101</v>
      </c>
      <c r="AC918" s="7" t="s">
        <v>102</v>
      </c>
      <c r="AG918" s="9">
        <v>40743.0</v>
      </c>
      <c r="AH918" s="9">
        <v>40743.0</v>
      </c>
    </row>
    <row r="919">
      <c r="A919" s="6" t="str">
        <f>HYPERLINK("https://archive.ph/o/kCXAs/https://web-beta.archive.org/web/20130315140312/http://clopfic.heroku.com/fics/256", "Heaven Sent")</f>
        <v>Heaven Sent</v>
      </c>
      <c r="H919" s="8" t="s">
        <v>963</v>
      </c>
      <c r="I919" s="6" t="str">
        <f>HYPERLINK("https://archive.ph/o/kCXAs/https://web-beta.archive.org/web/20130315140312/http://clopfic.heroku.com/authors/84", "Big Mac (on AFFn)")</f>
        <v>Big Mac (on AFFn)</v>
      </c>
      <c r="R919" s="7" t="s">
        <v>66</v>
      </c>
      <c r="AG919" s="9">
        <v>40739.0</v>
      </c>
      <c r="AH919" s="9">
        <v>40739.0</v>
      </c>
    </row>
    <row r="920">
      <c r="A920" s="6" t="str">
        <f>HYPERLINK("https://archive.ph/o/kCXAs/https://web-beta.archive.org/web/20130315140312/http://clopfic.heroku.com/fics/257", "Ain't No Party Like A Pinkie Pie Party")</f>
        <v>Ain't No Party Like A Pinkie Pie Party</v>
      </c>
      <c r="H920" s="8" t="s">
        <v>654</v>
      </c>
      <c r="I920" s="6" t="str">
        <f>HYPERLINK("https://archive.ph/o/kCXAs/https://web-beta.archive.org/web/20130315140312/http://clopfic.heroku.com/authors/1", "RagingSemi")</f>
        <v>RagingSemi</v>
      </c>
      <c r="N920" s="7" t="s">
        <v>47</v>
      </c>
      <c r="R920" s="7" t="s">
        <v>66</v>
      </c>
      <c r="AG920" s="9">
        <v>40738.0</v>
      </c>
      <c r="AH920" s="9">
        <v>40738.0</v>
      </c>
    </row>
    <row r="921">
      <c r="A921" s="6" t="str">
        <f>HYPERLINK("https://archive.ph/o/kCXAs/https://web-beta.archive.org/web/20130315140312/http://clopfic.heroku.com/fics/258", "Fluttershy's Cellar")</f>
        <v>Fluttershy's Cellar</v>
      </c>
      <c r="D921" s="7" t="s">
        <v>37</v>
      </c>
      <c r="H921" s="8" t="s">
        <v>964</v>
      </c>
      <c r="I921" s="6" t="str">
        <f>HYPERLINK("https://archive.ph/o/kCXAs/https://web-beta.archive.org/web/20130315140312/http://clopfic.heroku.com/authors/76", "Fickle")</f>
        <v>Fickle</v>
      </c>
      <c r="J921" s="7" t="s">
        <v>39</v>
      </c>
      <c r="K921" s="7" t="s">
        <v>49</v>
      </c>
      <c r="M921" s="7" t="s">
        <v>56</v>
      </c>
      <c r="N921" s="7" t="s">
        <v>47</v>
      </c>
      <c r="O921" s="7" t="s">
        <v>51</v>
      </c>
      <c r="P921" s="7" t="s">
        <v>64</v>
      </c>
      <c r="Q921" s="7" t="s">
        <v>65</v>
      </c>
      <c r="V921" s="7" t="s">
        <v>71</v>
      </c>
      <c r="W921" s="7" t="s">
        <v>69</v>
      </c>
      <c r="AG921" s="9">
        <v>40737.0</v>
      </c>
      <c r="AH921" s="9">
        <v>40737.0</v>
      </c>
    </row>
    <row r="922">
      <c r="A922" s="6" t="str">
        <f>HYPERLINK("https://archive.ph/o/kCXAs/https://web-beta.archive.org/web/20130315140312/http://clopfic.heroku.com/fics/260", "Rutting Day")</f>
        <v>Rutting Day</v>
      </c>
      <c r="H922" s="8" t="s">
        <v>965</v>
      </c>
      <c r="I922" s="6" t="str">
        <f>HYPERLINK("https://archive.ph/o/kCXAs/https://web-beta.archive.org/web/20130315140312/http://clopfic.heroku.com/authors/1", "RagingSemi")</f>
        <v>RagingSemi</v>
      </c>
      <c r="J922" s="7" t="s">
        <v>39</v>
      </c>
      <c r="K922" s="7" t="s">
        <v>49</v>
      </c>
      <c r="L922" s="7" t="s">
        <v>62</v>
      </c>
      <c r="M922" s="7" t="s">
        <v>56</v>
      </c>
      <c r="N922" s="7" t="s">
        <v>47</v>
      </c>
      <c r="O922" s="7" t="s">
        <v>51</v>
      </c>
      <c r="S922" s="7" t="s">
        <v>68</v>
      </c>
      <c r="V922" s="7" t="s">
        <v>71</v>
      </c>
      <c r="X922" s="7" t="s">
        <v>107</v>
      </c>
      <c r="AG922" s="9">
        <v>40736.0</v>
      </c>
      <c r="AH922" s="9">
        <v>40736.0</v>
      </c>
    </row>
    <row r="923">
      <c r="A923" s="6" t="str">
        <f>HYPERLINK("https://archive.ph/o/kCXAs/https://web-beta.archive.org/web/20130315140312/http://clopfic.heroku.com/fics/259", "First Kiss - A Princess Story")</f>
        <v>First Kiss - A Princess Story</v>
      </c>
      <c r="C923" s="7" t="s">
        <v>54</v>
      </c>
      <c r="H923" s="8" t="s">
        <v>966</v>
      </c>
      <c r="I923" s="6" t="str">
        <f>HYPERLINK("https://archive.ph/o/kCXAs/https://web-beta.archive.org/web/20130315140312/http://clopfic.heroku.com/authors/77", "Sugar Plum")</f>
        <v>Sugar Plum</v>
      </c>
      <c r="P923" s="7" t="s">
        <v>64</v>
      </c>
      <c r="Q923" s="7" t="s">
        <v>65</v>
      </c>
      <c r="AG923" s="9">
        <v>40736.0</v>
      </c>
      <c r="AH923" s="9">
        <v>40736.0</v>
      </c>
    </row>
    <row r="924">
      <c r="A924" s="6" t="str">
        <f>HYPERLINK("https://archive.ph/o/kCXAs/https://web-beta.archive.org/web/20130315140312/http://clopfic.heroku.com/fics/261", "Snail Trail")</f>
        <v>Snail Trail</v>
      </c>
      <c r="H924" s="8" t="s">
        <v>967</v>
      </c>
      <c r="I924" s="6" t="str">
        <f>HYPERLINK("https://archive.ph/o/kCXAs/https://web-beta.archive.org/web/20130315140312/http://clopfic.heroku.com/authors/1", "RagingSemi")</f>
        <v>RagingSemi</v>
      </c>
      <c r="Z924" s="7" t="s">
        <v>40</v>
      </c>
      <c r="AF924" s="7" t="s">
        <v>41</v>
      </c>
      <c r="AG924" s="9">
        <v>40735.0</v>
      </c>
      <c r="AH924" s="9">
        <v>40735.0</v>
      </c>
    </row>
    <row r="925">
      <c r="A925" s="6" t="str">
        <f>HYPERLINK("https://archive.ph/o/kCXAs/https://web-beta.archive.org/web/20130315140312/http://clopfic.heroku.com/fics/262", "Mare's Milk")</f>
        <v>Mare's Milk</v>
      </c>
      <c r="H925" s="8" t="s">
        <v>968</v>
      </c>
      <c r="I925" s="6" t="str">
        <f>HYPERLINK("https://archive.ph/o/kCXAs/https://web-beta.archive.org/web/20130315140312/http://clopfic.heroku.com/authors/80", "Hotsauce")</f>
        <v>Hotsauce</v>
      </c>
      <c r="O925" s="7" t="s">
        <v>51</v>
      </c>
      <c r="S925" s="7" t="s">
        <v>68</v>
      </c>
      <c r="T925" s="7" t="s">
        <v>59</v>
      </c>
      <c r="U925" s="7" t="s">
        <v>60</v>
      </c>
      <c r="AG925" s="9">
        <v>40734.0</v>
      </c>
      <c r="AH925" s="9">
        <v>40734.0</v>
      </c>
    </row>
    <row r="926">
      <c r="A926" s="6" t="str">
        <f>HYPERLINK("https://archive.ph/o/kCXAs/https://web-beta.archive.org/web/20130315140312/http://clopfic.heroku.com/fics/263", "Consummation")</f>
        <v>Consummation</v>
      </c>
      <c r="H926" s="8" t="s">
        <v>969</v>
      </c>
      <c r="I926" s="6" t="str">
        <f>HYPERLINK("https://archive.ph/o/kCXAs/https://web-beta.archive.org/web/20130315140312/http://clopfic.heroku.com/authors/85", "Thunderdome")</f>
        <v>Thunderdome</v>
      </c>
      <c r="K926" s="7" t="s">
        <v>49</v>
      </c>
      <c r="M926" s="7" t="s">
        <v>56</v>
      </c>
      <c r="Z926" s="7" t="s">
        <v>40</v>
      </c>
      <c r="AB926" s="7" t="s">
        <v>101</v>
      </c>
      <c r="AC926" s="7" t="s">
        <v>102</v>
      </c>
      <c r="AG926" s="9">
        <v>40731.0</v>
      </c>
      <c r="AH926" s="9">
        <v>40731.0</v>
      </c>
    </row>
    <row r="927">
      <c r="A927" s="6" t="str">
        <f>HYPERLINK("https://archive.ph/o/kCXAs/https://web-beta.archive.org/web/20130315140312/http://clopfic.heroku.com/fics/264", "Party of Two")</f>
        <v>Party of Two</v>
      </c>
      <c r="H927" s="8" t="s">
        <v>970</v>
      </c>
      <c r="I927" s="6" t="str">
        <f>HYPERLINK("https://archive.ph/o/kCXAs/https://web-beta.archive.org/web/20130315140312/http://clopfic.heroku.com/authors/73", "Buttersc0tchSundae")</f>
        <v>Buttersc0tchSundae</v>
      </c>
      <c r="K927" s="7" t="s">
        <v>49</v>
      </c>
      <c r="M927" s="7" t="s">
        <v>56</v>
      </c>
      <c r="AG927" s="9">
        <v>40731.0</v>
      </c>
      <c r="AH927" s="9">
        <v>40731.0</v>
      </c>
    </row>
    <row r="928">
      <c r="A928" s="6" t="str">
        <f>HYPERLINK("https://archive.ph/o/kCXAs/https://web-beta.archive.org/web/20130315140312/http://clopfic.heroku.com/fics/265", "Rerapening, The")</f>
        <v>Rerapening, The</v>
      </c>
      <c r="B928" s="7" t="s">
        <v>36</v>
      </c>
      <c r="D928" s="7" t="s">
        <v>37</v>
      </c>
      <c r="H928" s="8" t="s">
        <v>971</v>
      </c>
      <c r="I928" s="6" t="str">
        <f>HYPERLINK("https://archive.ph/o/kCXAs/https://web-beta.archive.org/web/20130315140312/http://clopfic.heroku.com/authors/86", "Hoss")</f>
        <v>Hoss</v>
      </c>
      <c r="M928" s="7" t="s">
        <v>56</v>
      </c>
      <c r="T928" s="7" t="s">
        <v>59</v>
      </c>
      <c r="AG928" s="9">
        <v>40729.0</v>
      </c>
      <c r="AH928" s="9">
        <v>40729.0</v>
      </c>
    </row>
    <row r="929">
      <c r="A929" s="6" t="str">
        <f>HYPERLINK("https://archive.ph/o/kCXAs/https://web-beta.archive.org/web/20130315140312/http://clopfic.heroku.com/fics/266", "Spreading Your Wings and Hers")</f>
        <v>Spreading Your Wings and Hers</v>
      </c>
      <c r="H929" s="8" t="s">
        <v>972</v>
      </c>
      <c r="I929" s="6" t="str">
        <f>HYPERLINK("https://archive.ph/o/kCXAs/https://web-beta.archive.org/web/20130315140312/http://clopfic.heroku.com/authors/87", "Crowley")</f>
        <v>Crowley</v>
      </c>
      <c r="M929" s="7" t="s">
        <v>56</v>
      </c>
      <c r="Z929" s="7" t="s">
        <v>40</v>
      </c>
      <c r="AF929" s="7" t="s">
        <v>41</v>
      </c>
      <c r="AG929" s="9">
        <v>40729.0</v>
      </c>
      <c r="AH929" s="9">
        <v>40729.0</v>
      </c>
    </row>
    <row r="930">
      <c r="A930" s="6" t="str">
        <f>HYPERLINK("https://archive.ph/o/kCXAs/https://web-beta.archive.org/web/20130315140312/http://clopfic.heroku.com/fics/269", "Filly foolin'!")</f>
        <v>Filly foolin'!</v>
      </c>
      <c r="C930" s="7" t="s">
        <v>54</v>
      </c>
      <c r="E930" s="7" t="s">
        <v>44</v>
      </c>
      <c r="H930" s="8" t="s">
        <v>973</v>
      </c>
      <c r="I930" s="6" t="str">
        <f>HYPERLINK("https://archive.ph/o/kCXAs/https://web-beta.archive.org/web/20130315140312/http://clopfic.heroku.com/authors/80", "Hotsauce")</f>
        <v>Hotsauce</v>
      </c>
      <c r="Z930" s="7" t="s">
        <v>40</v>
      </c>
      <c r="AE930" s="7" t="s">
        <v>43</v>
      </c>
      <c r="AF930" s="7" t="s">
        <v>41</v>
      </c>
      <c r="AG930" s="9">
        <v>40728.0</v>
      </c>
      <c r="AH930" s="9">
        <v>40728.0</v>
      </c>
    </row>
    <row r="931">
      <c r="A931" s="6" t="str">
        <f>HYPERLINK("https://archive.ph/o/kCXAs/https://web-beta.archive.org/web/20130315140312/http://clopfic.heroku.com/fics/271", "Something Special")</f>
        <v>Something Special</v>
      </c>
      <c r="H931" s="8" t="s">
        <v>974</v>
      </c>
      <c r="I931" s="6" t="str">
        <f>HYPERLINK("https://archive.ph/o/kCXAs/https://web-beta.archive.org/web/20130315140312/http://clopfic.heroku.com/authors/90", "A.J.")</f>
        <v>A.J.</v>
      </c>
      <c r="L931" s="7" t="s">
        <v>62</v>
      </c>
      <c r="Z931" s="7" t="s">
        <v>40</v>
      </c>
      <c r="AE931" s="7" t="s">
        <v>43</v>
      </c>
      <c r="AG931" s="9">
        <v>40726.0</v>
      </c>
      <c r="AH931" s="9">
        <v>40726.0</v>
      </c>
    </row>
    <row r="932">
      <c r="A932" s="6" t="str">
        <f>HYPERLINK("https://archive.ph/o/kCXAs/https://web-beta.archive.org/web/20130315140312/http://clopfic.heroku.com/fics/270", "Music of Love, The")</f>
        <v>Music of Love, The</v>
      </c>
      <c r="H932" s="8" t="s">
        <v>956</v>
      </c>
      <c r="I932" s="6" t="str">
        <f>HYPERLINK("https://archive.ph/o/kCXAs/https://web-beta.archive.org/web/20130315140312/http://clopfic.heroku.com/authors/84", "Big Mac (on AFFn)")</f>
        <v>Big Mac (on AFFn)</v>
      </c>
      <c r="Z932" s="7" t="s">
        <v>40</v>
      </c>
      <c r="AB932" s="7" t="s">
        <v>101</v>
      </c>
      <c r="AC932" s="7" t="s">
        <v>102</v>
      </c>
      <c r="AG932" s="9">
        <v>40726.0</v>
      </c>
      <c r="AH932" s="9">
        <v>40726.0</v>
      </c>
    </row>
    <row r="933">
      <c r="A933" s="6" t="str">
        <f>HYPERLINK("https://archive.ph/o/kCXAs/https://web-beta.archive.org/web/20130315140312/http://clopfic.heroku.com/fics/273", "Soft Candy")</f>
        <v>Soft Candy</v>
      </c>
      <c r="H933" s="8" t="s">
        <v>975</v>
      </c>
      <c r="I933" s="6" t="str">
        <f>HYPERLINK("https://archive.ph/o/kCXAs/https://web-beta.archive.org/web/20130315140312/http://clopfic.heroku.com/authors/1", "RagingSemi")</f>
        <v>RagingSemi</v>
      </c>
      <c r="M933" s="7" t="s">
        <v>56</v>
      </c>
      <c r="T933" s="7" t="s">
        <v>59</v>
      </c>
      <c r="AG933" s="9">
        <v>40725.0</v>
      </c>
      <c r="AH933" s="9">
        <v>40725.0</v>
      </c>
    </row>
    <row r="934">
      <c r="A934" s="6" t="str">
        <f>HYPERLINK("https://archive.ph/o/kCXAs/https://web-beta.archive.org/web/20130315140312/http://clopfic.heroku.com/fics/272", "Welcome Developments")</f>
        <v>Welcome Developments</v>
      </c>
      <c r="H934" s="8" t="s">
        <v>976</v>
      </c>
      <c r="I934" s="6" t="str">
        <f>HYPERLINK("https://archive.ph/o/kCXAs/https://web-beta.archive.org/web/20130315140312/http://clopfic.heroku.com/authors/91", "DemiGlitch")</f>
        <v>DemiGlitch</v>
      </c>
      <c r="L934" s="7" t="s">
        <v>62</v>
      </c>
      <c r="N934" s="7" t="s">
        <v>47</v>
      </c>
      <c r="AG934" s="9">
        <v>40725.0</v>
      </c>
      <c r="AH934" s="9">
        <v>40725.0</v>
      </c>
    </row>
    <row r="935">
      <c r="A935" s="6" t="str">
        <f>HYPERLINK("https://archive.ph/o/kCXAs/https://web-beta.archive.org/web/20130315140312/http://clopfic.heroku.com/fics/274", "Horror, the Horror, The")</f>
        <v>Horror, the Horror, The</v>
      </c>
      <c r="B935" s="7" t="s">
        <v>36</v>
      </c>
      <c r="H935" s="8" t="s">
        <v>977</v>
      </c>
      <c r="I935" s="6" t="str">
        <f>HYPERLINK("https://archive.ph/o/kCXAs/https://web-beta.archive.org/web/20130315140312/http://clopfic.heroku.com/authors/84", "Big Mac (on AFFn)")</f>
        <v>Big Mac (on AFFn)</v>
      </c>
      <c r="Z935" s="7" t="s">
        <v>40</v>
      </c>
      <c r="AF935" s="7" t="s">
        <v>41</v>
      </c>
      <c r="AG935" s="9">
        <v>40723.0</v>
      </c>
      <c r="AH935" s="9">
        <v>40723.0</v>
      </c>
    </row>
    <row r="936">
      <c r="A936" s="6" t="str">
        <f>HYPERLINK("https://archive.ph/o/kCXAs/https://web-beta.archive.org/web/20130315140312/http://clopfic.heroku.com/fics/276", "Rapering 2: Intoleration")</f>
        <v>Rapering 2: Intoleration</v>
      </c>
      <c r="B936" s="7" t="s">
        <v>36</v>
      </c>
      <c r="H936" s="8" t="s">
        <v>978</v>
      </c>
      <c r="I936" s="6" t="str">
        <f>HYPERLINK("https://archive.ph/o/kCXAs/https://web-beta.archive.org/web/20130315140312/http://clopfic.heroku.com/authors/1", "RagingSemi")</f>
        <v>RagingSemi</v>
      </c>
      <c r="N936" s="7" t="s">
        <v>47</v>
      </c>
      <c r="X936" s="7" t="s">
        <v>107</v>
      </c>
      <c r="AG936" s="9">
        <v>40721.0</v>
      </c>
      <c r="AH936" s="9">
        <v>40721.0</v>
      </c>
    </row>
    <row r="937">
      <c r="A937" s="6" t="str">
        <f>HYPERLINK("https://archive.ph/o/kCXAs/https://web-beta.archive.org/web/20130315140312/http://clopfic.heroku.com/fics/277", "First Blush")</f>
        <v>First Blush</v>
      </c>
      <c r="H937" s="8" t="s">
        <v>979</v>
      </c>
      <c r="I937" s="6" t="str">
        <f>HYPERLINK("https://archive.ph/o/kCXAs/https://web-beta.archive.org/web/20130315140312/http://clopfic.heroku.com/authors/73", "Buttersc0tchSundae")</f>
        <v>Buttersc0tchSundae</v>
      </c>
      <c r="M937" s="7" t="s">
        <v>56</v>
      </c>
      <c r="Z937" s="7" t="s">
        <v>40</v>
      </c>
      <c r="AE937" s="7" t="s">
        <v>43</v>
      </c>
      <c r="AG937" s="9">
        <v>40721.0</v>
      </c>
      <c r="AH937" s="9">
        <v>40721.0</v>
      </c>
    </row>
    <row r="938">
      <c r="A938" s="6" t="str">
        <f>HYPERLINK("https://archive.ph/o/kCXAs/https://web-beta.archive.org/web/20130315140312/http://clopfic.heroku.com/fics/278", "Lost and Found in Equestria")</f>
        <v>Lost and Found in Equestria</v>
      </c>
      <c r="C938" s="7" t="s">
        <v>54</v>
      </c>
      <c r="H938" s="8" t="s">
        <v>980</v>
      </c>
      <c r="I938" s="6" t="str">
        <f>HYPERLINK("https://archive.ph/o/kCXAs/https://web-beta.archive.org/web/20130315140312/http://clopfic.heroku.com/authors/1", "RagingSemi")</f>
        <v>RagingSemi</v>
      </c>
      <c r="J938" s="7" t="s">
        <v>39</v>
      </c>
      <c r="Z938" s="7" t="s">
        <v>40</v>
      </c>
      <c r="AF938" s="7" t="s">
        <v>41</v>
      </c>
      <c r="AG938" s="9">
        <v>40720.0</v>
      </c>
      <c r="AH938" s="9">
        <v>40720.0</v>
      </c>
    </row>
    <row r="939">
      <c r="A939" s="6" t="str">
        <f>HYPERLINK("https://archive.ph/o/kCXAs/https://web-beta.archive.org/web/20130315140312/http://clopfic.heroku.com/fics/279", "FlutterStocks")</f>
        <v>FlutterStocks</v>
      </c>
      <c r="B939" s="7" t="s">
        <v>36</v>
      </c>
      <c r="H939" s="8" t="s">
        <v>981</v>
      </c>
      <c r="I939" s="6" t="str">
        <f>HYPERLINK("https://archive.ph/o/kCXAs/https://web-beta.archive.org/web/20130315140312/http://clopfic.heroku.com/authors/90", "A.J.")</f>
        <v>A.J.</v>
      </c>
      <c r="K939" s="7" t="s">
        <v>49</v>
      </c>
      <c r="O939" s="7" t="s">
        <v>51</v>
      </c>
      <c r="V939" s="7" t="s">
        <v>71</v>
      </c>
      <c r="Z939" s="7" t="s">
        <v>40</v>
      </c>
      <c r="AF939" s="7" t="s">
        <v>41</v>
      </c>
      <c r="AG939" s="9">
        <v>40719.0</v>
      </c>
      <c r="AH939" s="9">
        <v>40719.0</v>
      </c>
    </row>
    <row r="940">
      <c r="A940" s="6" t="str">
        <f>HYPERLINK("https://archive.ph/o/kCXAs/https://web-beta.archive.org/web/20130315140312/http://clopfic.heroku.com/fics/281", "Ponies Walking in On")</f>
        <v>Ponies Walking in On</v>
      </c>
      <c r="H940" s="8" t="s">
        <v>982</v>
      </c>
      <c r="I940" s="6" t="str">
        <f>HYPERLINK("https://archive.ph/o/kCXAs/https://web-beta.archive.org/web/20130315140312/http://clopfic.heroku.com/authors/93", "zz anonymous")</f>
        <v>zz anonymous</v>
      </c>
      <c r="K940" s="7" t="s">
        <v>49</v>
      </c>
      <c r="M940" s="7" t="s">
        <v>56</v>
      </c>
      <c r="N940" s="7" t="s">
        <v>47</v>
      </c>
      <c r="O940" s="7" t="s">
        <v>51</v>
      </c>
      <c r="AG940" s="9">
        <v>40719.0</v>
      </c>
      <c r="AH940" s="9">
        <v>40719.0</v>
      </c>
    </row>
    <row r="941">
      <c r="A941" s="6" t="str">
        <f>HYPERLINK("https://archive.ph/o/kCXAs/https://web-beta.archive.org/web/20130315140312/http://clopfic.heroku.com/fics/284", "Big Adventure, Tons of Fun")</f>
        <v>Big Adventure, Tons of Fun</v>
      </c>
      <c r="C941" s="7" t="s">
        <v>54</v>
      </c>
      <c r="D941" s="7" t="s">
        <v>37</v>
      </c>
      <c r="H941" s="8" t="s">
        <v>983</v>
      </c>
      <c r="I941" s="6" t="str">
        <f t="shared" ref="I941:I942" si="38">HYPERLINK("https://archive.ph/o/kCXAs/https://web-beta.archive.org/web/20130315140312/http://clopfic.heroku.com/authors/1", "RagingSemi")</f>
        <v>RagingSemi</v>
      </c>
      <c r="J941" s="7" t="s">
        <v>39</v>
      </c>
      <c r="K941" s="7" t="s">
        <v>49</v>
      </c>
      <c r="L941" s="7" t="s">
        <v>62</v>
      </c>
      <c r="M941" s="7" t="s">
        <v>56</v>
      </c>
      <c r="N941" s="7" t="s">
        <v>47</v>
      </c>
      <c r="O941" s="7" t="s">
        <v>51</v>
      </c>
      <c r="P941" s="7" t="s">
        <v>64</v>
      </c>
      <c r="Q941" s="7" t="s">
        <v>65</v>
      </c>
      <c r="R941" s="7" t="s">
        <v>66</v>
      </c>
      <c r="AG941" s="9">
        <v>40718.0</v>
      </c>
      <c r="AH941" s="9">
        <v>40718.0</v>
      </c>
    </row>
    <row r="942">
      <c r="A942" s="6" t="str">
        <f>HYPERLINK("https://archive.ph/o/kCXAs/https://web-beta.archive.org/web/20130315140312/http://clopfic.heroku.com/fics/282", "Rapering 1: Revengency")</f>
        <v>Rapering 1: Revengency</v>
      </c>
      <c r="B942" s="7" t="s">
        <v>36</v>
      </c>
      <c r="D942" s="7" t="s">
        <v>37</v>
      </c>
      <c r="F942" s="7" t="s">
        <v>52</v>
      </c>
      <c r="H942" s="8" t="s">
        <v>984</v>
      </c>
      <c r="I942" s="6" t="str">
        <f t="shared" si="38"/>
        <v>RagingSemi</v>
      </c>
      <c r="N942" s="7" t="s">
        <v>47</v>
      </c>
      <c r="U942" s="7" t="s">
        <v>60</v>
      </c>
      <c r="AG942" s="9">
        <v>40718.0</v>
      </c>
      <c r="AH942" s="9">
        <v>40718.0</v>
      </c>
    </row>
    <row r="943">
      <c r="A943" s="6" t="str">
        <f>HYPERLINK("https://archive.ph/o/kCXAs/https://web-beta.archive.org/web/20130315140312/http://clopfic.heroku.com/fics/283", "Holding the Reins")</f>
        <v>Holding the Reins</v>
      </c>
      <c r="G943" s="7" t="s">
        <v>75</v>
      </c>
      <c r="H943" s="8" t="s">
        <v>985</v>
      </c>
      <c r="I943" s="6" t="str">
        <f>HYPERLINK("https://archive.ph/o/kCXAs/https://web-beta.archive.org/web/20130315140312/http://clopfic.heroku.com/authors/94", "Xerorythic")</f>
        <v>Xerorythic</v>
      </c>
      <c r="J943" s="7" t="s">
        <v>39</v>
      </c>
      <c r="N943" s="7" t="s">
        <v>47</v>
      </c>
      <c r="O943" s="7" t="s">
        <v>51</v>
      </c>
      <c r="S943" s="7" t="s">
        <v>68</v>
      </c>
      <c r="T943" s="7" t="s">
        <v>59</v>
      </c>
      <c r="U943" s="7" t="s">
        <v>60</v>
      </c>
      <c r="AG943" s="9">
        <v>40718.0</v>
      </c>
      <c r="AH943" s="9">
        <v>40718.0</v>
      </c>
    </row>
    <row r="944">
      <c r="A944" s="6" t="str">
        <f>HYPERLINK("https://archive.ph/o/kCXAs/https://web-beta.archive.org/web/20130315140312/http://clopfic.heroku.com/fics/285", "Finding the Right Heart")</f>
        <v>Finding the Right Heart</v>
      </c>
      <c r="C944" s="7" t="s">
        <v>54</v>
      </c>
      <c r="H944" s="8" t="s">
        <v>986</v>
      </c>
      <c r="I944" s="6" t="str">
        <f>HYPERLINK("https://archive.ph/o/kCXAs/https://web-beta.archive.org/web/20130315140312/http://clopfic.heroku.com/authors/95", "MetalHooves")</f>
        <v>MetalHooves</v>
      </c>
      <c r="T944" s="7" t="s">
        <v>59</v>
      </c>
      <c r="Z944" s="7" t="s">
        <v>40</v>
      </c>
      <c r="AF944" s="7" t="s">
        <v>41</v>
      </c>
      <c r="AG944" s="9">
        <v>40718.0</v>
      </c>
      <c r="AH944" s="9">
        <v>40718.0</v>
      </c>
    </row>
    <row r="945">
      <c r="A945" s="6" t="str">
        <f>HYPERLINK("https://archive.ph/o/kCXAs/https://web-beta.archive.org/web/20130315140312/http://clopfic.heroku.com/fics/287", "Going That Extra Mile")</f>
        <v>Going That Extra Mile</v>
      </c>
      <c r="H945" s="8" t="s">
        <v>987</v>
      </c>
      <c r="I945" s="6" t="str">
        <f>HYPERLINK("https://archive.ph/o/kCXAs/https://web-beta.archive.org/web/20130315140312/http://clopfic.heroku.com/authors/97", "Calamity")</f>
        <v>Calamity</v>
      </c>
      <c r="W945" s="7" t="s">
        <v>69</v>
      </c>
      <c r="Z945" s="7" t="s">
        <v>40</v>
      </c>
      <c r="AE945" s="7" t="s">
        <v>43</v>
      </c>
      <c r="AG945" s="9">
        <v>40717.0</v>
      </c>
      <c r="AH945" s="9">
        <v>40717.0</v>
      </c>
    </row>
    <row r="946">
      <c r="A946" s="6" t="str">
        <f>HYPERLINK("https://archive.ph/o/kCXAs/https://web-beta.archive.org/web/20130315140312/http://clopfic.heroku.com/fics/286", "Fall Weather Friends - Alternate Alternate Ending")</f>
        <v>Fall Weather Friends - Alternate Alternate Ending</v>
      </c>
      <c r="D946" s="7" t="s">
        <v>37</v>
      </c>
      <c r="H946" s="8" t="s">
        <v>988</v>
      </c>
      <c r="I946" s="6" t="str">
        <f>HYPERLINK("https://archive.ph/o/kCXAs/https://web-beta.archive.org/web/20130315140312/http://clopfic.heroku.com/authors/96", "Fairy Slayer")</f>
        <v>Fairy Slayer</v>
      </c>
      <c r="L946" s="7" t="s">
        <v>62</v>
      </c>
      <c r="M946" s="7" t="s">
        <v>56</v>
      </c>
      <c r="P946" s="7" t="s">
        <v>64</v>
      </c>
      <c r="AG946" s="9">
        <v>40717.0</v>
      </c>
      <c r="AH946" s="9">
        <v>40717.0</v>
      </c>
    </row>
    <row r="947">
      <c r="A947" s="6" t="str">
        <f>HYPERLINK("https://archive.ph/o/kCXAs/https://web-beta.archive.org/web/20130315140312/http://clopfic.heroku.com/fics/289", "Sp/it {or “Split”}")</f>
        <v>Sp/it {or “Split”}</v>
      </c>
      <c r="D947" s="7" t="s">
        <v>37</v>
      </c>
      <c r="H947" s="8" t="s">
        <v>989</v>
      </c>
      <c r="I947" s="6" t="str">
        <f>HYPERLINK("https://archive.ph/o/kCXAs/https://web-beta.archive.org/web/20130315140312/http://clopfic.heroku.com/authors/81", "Co/smonaut petro/v/")</f>
        <v>Co/smonaut petro/v/</v>
      </c>
      <c r="J947" s="7" t="s">
        <v>39</v>
      </c>
      <c r="K947" s="7" t="s">
        <v>49</v>
      </c>
      <c r="M947" s="7" t="s">
        <v>56</v>
      </c>
      <c r="AG947" s="9">
        <v>40715.0</v>
      </c>
      <c r="AH947" s="9">
        <v>40715.0</v>
      </c>
    </row>
    <row r="948">
      <c r="A948" s="6" t="str">
        <f>HYPERLINK("https://archive.ph/o/kCXAs/https://web-beta.archive.org/web/20130315140312/http://clopfic.heroku.com/fics/290", "In Which Nightmare Moon Rapes Twilight and Has Evil Babies With Her")</f>
        <v>In Which Nightmare Moon Rapes Twilight and Has Evil Babies With Her</v>
      </c>
      <c r="B948" s="7" t="s">
        <v>36</v>
      </c>
      <c r="D948" s="7" t="s">
        <v>37</v>
      </c>
      <c r="H948" s="8" t="s">
        <v>990</v>
      </c>
      <c r="I948" s="6" t="str">
        <f>HYPERLINK("https://archive.ph/o/kCXAs/https://web-beta.archive.org/web/20130315140312/http://clopfic.heroku.com/authors/99", "Scherzo")</f>
        <v>Scherzo</v>
      </c>
      <c r="J948" s="7" t="s">
        <v>39</v>
      </c>
      <c r="Q948" s="7" t="s">
        <v>65</v>
      </c>
      <c r="AG948" s="9">
        <v>40714.0</v>
      </c>
      <c r="AH948" s="9">
        <v>40714.0</v>
      </c>
    </row>
    <row r="949">
      <c r="A949" s="6" t="str">
        <f>HYPERLINK("https://archive.ph/o/kCXAs/https://web-beta.archive.org/web/20130315140312/http://clopfic.heroku.com/fics/291", "Filly's Pleasure, The")</f>
        <v>Filly's Pleasure, The</v>
      </c>
      <c r="G949" s="7" t="s">
        <v>75</v>
      </c>
      <c r="H949" s="8" t="s">
        <v>991</v>
      </c>
      <c r="I949" s="6" t="str">
        <f>HYPERLINK("https://archive.ph/o/kCXAs/https://web-beta.archive.org/web/20130315140312/http://clopfic.heroku.com/authors/100", "YamiMarik1994")</f>
        <v>YamiMarik1994</v>
      </c>
      <c r="J949" s="7" t="s">
        <v>39</v>
      </c>
      <c r="O949" s="7" t="s">
        <v>51</v>
      </c>
      <c r="AG949" s="9">
        <v>40713.0</v>
      </c>
      <c r="AH949" s="9">
        <v>40713.0</v>
      </c>
    </row>
    <row r="950">
      <c r="A950" s="6" t="str">
        <f>HYPERLINK("https://archive.ph/o/kCXAs/https://web-beta.archive.org/web/20130315140312/http://clopfic.heroku.com/fics/294", "Honesty and Generosity")</f>
        <v>Honesty and Generosity</v>
      </c>
      <c r="H950" s="8" t="s">
        <v>951</v>
      </c>
      <c r="I950" s="6" t="str">
        <f>HYPERLINK("https://archive.ph/o/kCXAs/https://web-beta.archive.org/web/20130315140312/http://clopfic.heroku.com/authors/90", "A.J.")</f>
        <v>A.J.</v>
      </c>
      <c r="L950" s="7" t="s">
        <v>62</v>
      </c>
      <c r="N950" s="7" t="s">
        <v>47</v>
      </c>
      <c r="AG950" s="9">
        <v>40712.0</v>
      </c>
      <c r="AH950" s="9">
        <v>40712.0</v>
      </c>
    </row>
    <row r="951">
      <c r="A951" s="6" t="str">
        <f>HYPERLINK("https://archive.ph/o/kCXAs/https://web-beta.archive.org/web/20130315140312/http://clopfic.heroku.com/fics/295", "Double Rainbow")</f>
        <v>Double Rainbow</v>
      </c>
      <c r="H951" s="8" t="s">
        <v>992</v>
      </c>
      <c r="I951" s="6" t="str">
        <f>HYPERLINK("https://archive.ph/o/kCXAs/https://web-beta.archive.org/web/20130315140312/http://clopfic.heroku.com/authors/81", "Co/smonaut petro/v/")</f>
        <v>Co/smonaut petro/v/</v>
      </c>
      <c r="M951" s="7" t="s">
        <v>56</v>
      </c>
      <c r="Z951" s="7" t="s">
        <v>40</v>
      </c>
      <c r="AF951" s="7" t="s">
        <v>41</v>
      </c>
      <c r="AG951" s="9">
        <v>40712.0</v>
      </c>
      <c r="AH951" s="9">
        <v>40712.0</v>
      </c>
    </row>
    <row r="952">
      <c r="A952" s="6" t="str">
        <f>HYPERLINK("https://archive.ph/o/kCXAs/https://web-beta.archive.org/web/20130315140312/http://clopfic.heroku.com/fics/293", "Mistress of Midnight Castle, The")</f>
        <v>Mistress of Midnight Castle, The</v>
      </c>
      <c r="G952" s="7" t="s">
        <v>75</v>
      </c>
      <c r="H952" s="8" t="s">
        <v>993</v>
      </c>
      <c r="I952" s="6" t="str">
        <f>HYPERLINK("https://archive.ph/o/kCXAs/https://web-beta.archive.org/web/20130315140312/http://clopfic.heroku.com/authors/73", "Buttersc0tchSundae")</f>
        <v>Buttersc0tchSundae</v>
      </c>
      <c r="J952" s="7" t="s">
        <v>39</v>
      </c>
      <c r="W952" s="7" t="s">
        <v>69</v>
      </c>
      <c r="AG952" s="9">
        <v>40712.0</v>
      </c>
      <c r="AH952" s="9">
        <v>40712.0</v>
      </c>
    </row>
    <row r="953">
      <c r="A953" s="6" t="str">
        <f>HYPERLINK("https://archive.ph/o/kCXAs/https://web-beta.archive.org/web/20130315140312/http://clopfic.heroku.com/fics/292", "Steamy Afternoon")</f>
        <v>Steamy Afternoon</v>
      </c>
      <c r="H953" s="8" t="s">
        <v>994</v>
      </c>
      <c r="I953" s="6" t="str">
        <f>HYPERLINK("https://archive.ph/o/kCXAs/https://web-beta.archive.org/web/20130315140312/http://clopfic.heroku.com/authors/101", "Staygayponygirl")</f>
        <v>Staygayponygirl</v>
      </c>
      <c r="M953" s="7" t="s">
        <v>56</v>
      </c>
      <c r="AG953" s="9">
        <v>40712.0</v>
      </c>
      <c r="AH953" s="9">
        <v>40712.0</v>
      </c>
    </row>
    <row r="954">
      <c r="A954" s="6" t="str">
        <f>HYPERLINK("https://archive.ph/o/kCXAs/https://web-beta.archive.org/web/20130315140312/http://clopfic.heroku.com/fics/298", "Bonus Track")</f>
        <v>Bonus Track</v>
      </c>
      <c r="C954" s="7" t="s">
        <v>54</v>
      </c>
      <c r="H954" s="8" t="s">
        <v>995</v>
      </c>
      <c r="I954" s="6" t="str">
        <f>HYPERLINK("https://archive.ph/o/kCXAs/https://web-beta.archive.org/web/20130315140312/http://clopfic.heroku.com/authors/95", "MetalHooves")</f>
        <v>MetalHooves</v>
      </c>
      <c r="Z954" s="7" t="s">
        <v>40</v>
      </c>
      <c r="AF954" s="7" t="s">
        <v>41</v>
      </c>
      <c r="AG954" s="9">
        <v>40711.0</v>
      </c>
      <c r="AH954" s="9">
        <v>40711.0</v>
      </c>
    </row>
    <row r="955">
      <c r="A955" s="6" t="str">
        <f>HYPERLINK("https://archive.ph/o/kCXAs/https://web-beta.archive.org/web/20130315140312/http://clopfic.heroku.com/fics/297", "Beat The Heat")</f>
        <v>Beat The Heat</v>
      </c>
      <c r="G955" s="7" t="s">
        <v>75</v>
      </c>
      <c r="H955" s="3"/>
      <c r="I955" s="6" t="str">
        <f>HYPERLINK("https://archive.ph/o/kCXAs/https://web-beta.archive.org/web/20130315140312/http://clopfic.heroku.com/authors/99", "Scherzo")</f>
        <v>Scherzo</v>
      </c>
      <c r="J955" s="7" t="s">
        <v>39</v>
      </c>
      <c r="N955" s="7" t="s">
        <v>47</v>
      </c>
      <c r="AG955" s="9">
        <v>40711.0</v>
      </c>
      <c r="AH955" s="9">
        <v>40711.0</v>
      </c>
    </row>
    <row r="956">
      <c r="A956" s="6" t="str">
        <f>HYPERLINK("https://archive.ph/o/kCXAs/https://web-beta.archive.org/web/20130315140312/http://clopfic.heroku.com/fics/299", "Sleepover")</f>
        <v>Sleepover</v>
      </c>
      <c r="H956" s="8" t="s">
        <v>996</v>
      </c>
      <c r="I956" s="6" t="str">
        <f>HYPERLINK("https://archive.ph/o/kCXAs/https://web-beta.archive.org/web/20130315140312/http://clopfic.heroku.com/authors/97", "Calamity")</f>
        <v>Calamity</v>
      </c>
      <c r="J956" s="7" t="s">
        <v>39</v>
      </c>
      <c r="V956" s="7" t="s">
        <v>71</v>
      </c>
      <c r="AG956" s="9">
        <v>40710.0</v>
      </c>
      <c r="AH956" s="9">
        <v>40710.0</v>
      </c>
    </row>
    <row r="957">
      <c r="A957" s="6" t="str">
        <f>HYPERLINK("https://archive.ph/o/kCXAs/https://web-beta.archive.org/web/20130315140312/http://clopfic.heroku.com/fics/301", "Show and Tell")</f>
        <v>Show and Tell</v>
      </c>
      <c r="C957" s="7" t="s">
        <v>54</v>
      </c>
      <c r="H957" s="8" t="s">
        <v>997</v>
      </c>
      <c r="I957" s="6" t="str">
        <f>HYPERLINK("https://archive.ph/o/kCXAs/https://web-beta.archive.org/web/20130315140312/http://clopfic.heroku.com/authors/95", "MetalHooves")</f>
        <v>MetalHooves</v>
      </c>
      <c r="Z957" s="7" t="s">
        <v>40</v>
      </c>
      <c r="AD957" s="7" t="s">
        <v>111</v>
      </c>
      <c r="AF957" s="7" t="s">
        <v>41</v>
      </c>
      <c r="AG957" s="9">
        <v>40709.0</v>
      </c>
      <c r="AH957" s="9">
        <v>40709.0</v>
      </c>
    </row>
    <row r="958">
      <c r="A958" s="6" t="str">
        <f>HYPERLINK("https://archive.ph/o/kCXAs/https://web-beta.archive.org/web/20130315140312/http://clopfic.heroku.com/fics/300", "Sky Baby Blues")</f>
        <v>Sky Baby Blues</v>
      </c>
      <c r="C958" s="7" t="s">
        <v>54</v>
      </c>
      <c r="D958" s="7" t="s">
        <v>37</v>
      </c>
      <c r="H958" s="8" t="s">
        <v>998</v>
      </c>
      <c r="I958" s="6" t="str">
        <f>HYPERLINK("https://archive.ph/o/kCXAs/https://web-beta.archive.org/web/20130315140312/http://clopfic.heroku.com/authors/81", "Co/smonaut petro/v/")</f>
        <v>Co/smonaut petro/v/</v>
      </c>
      <c r="M958" s="7" t="s">
        <v>56</v>
      </c>
      <c r="Z958" s="7" t="s">
        <v>40</v>
      </c>
      <c r="AF958" s="7" t="s">
        <v>41</v>
      </c>
      <c r="AG958" s="9">
        <v>40709.0</v>
      </c>
      <c r="AH958" s="9">
        <v>40709.0</v>
      </c>
    </row>
    <row r="959">
      <c r="A959" s="6" t="str">
        <f>HYPERLINK("https://archive.ph/o/kCXAs/https://web-beta.archive.org/web/20130315140312/http://clopfic.heroku.com/fics/302", "Crack of Dawn, The {LSP3}")</f>
        <v>Crack of Dawn, The {LSP3}</v>
      </c>
      <c r="C959" s="7" t="s">
        <v>54</v>
      </c>
      <c r="H959" s="8" t="s">
        <v>999</v>
      </c>
      <c r="I959" s="6" t="str">
        <f>HYPERLINK("https://archive.ph/o/kCXAs/https://web-beta.archive.org/web/20130315140312/http://clopfic.heroku.com/authors/1", "RagingSemi")</f>
        <v>RagingSemi</v>
      </c>
      <c r="L959" s="7" t="s">
        <v>62</v>
      </c>
      <c r="Q959" s="7" t="s">
        <v>65</v>
      </c>
      <c r="V959" s="7" t="s">
        <v>71</v>
      </c>
      <c r="AG959" s="9">
        <v>40708.0</v>
      </c>
      <c r="AH959" s="9">
        <v>40708.0</v>
      </c>
    </row>
    <row r="960">
      <c r="A960" s="6" t="str">
        <f>HYPERLINK("https://archive.ph/o/kCXAs/https://web-beta.archive.org/web/20130315140312/http://clopfic.heroku.com/fics/303", "Jackhammer")</f>
        <v>Jackhammer</v>
      </c>
      <c r="H960" s="8" t="s">
        <v>1000</v>
      </c>
      <c r="I960" s="6" t="str">
        <f>HYPERLINK("https://archive.ph/o/kCXAs/https://web-beta.archive.org/web/20130315140312/http://clopfic.heroku.com/authors/103", "Red Ghost16")</f>
        <v>Red Ghost16</v>
      </c>
      <c r="L960" s="7" t="s">
        <v>62</v>
      </c>
      <c r="M960" s="7" t="s">
        <v>56</v>
      </c>
      <c r="AG960" s="9">
        <v>40708.0</v>
      </c>
      <c r="AH960" s="9">
        <v>40708.0</v>
      </c>
    </row>
    <row r="961">
      <c r="A961" s="6" t="str">
        <f>HYPERLINK("https://archive.ph/o/kCXAs/https://web-beta.archive.org/web/20130315140312/http://clopfic.heroku.com/fics/304", "Rarity's Champagne")</f>
        <v>Rarity's Champagne</v>
      </c>
      <c r="C961" s="7" t="s">
        <v>54</v>
      </c>
      <c r="D961" s="7" t="s">
        <v>37</v>
      </c>
      <c r="H961" s="8" t="s">
        <v>1001</v>
      </c>
      <c r="I961" s="6" t="str">
        <f t="shared" ref="I961:I963" si="39">HYPERLINK("https://archive.ph/o/kCXAs/https://web-beta.archive.org/web/20130315140312/http://clopfic.heroku.com/authors/104", "Soashamedpony")</f>
        <v>Soashamedpony</v>
      </c>
      <c r="N961" s="7" t="s">
        <v>47</v>
      </c>
      <c r="Z961" s="7" t="s">
        <v>40</v>
      </c>
      <c r="AF961" s="7" t="s">
        <v>41</v>
      </c>
      <c r="AG961" s="9">
        <v>40706.0</v>
      </c>
      <c r="AH961" s="9">
        <v>40706.0</v>
      </c>
    </row>
    <row r="962">
      <c r="A962" s="6" t="str">
        <f>HYPERLINK("https://archive.ph/o/kCXAs/https://web-beta.archive.org/web/20130315140312/http://clopfic.heroku.com/fics/305", "Zecora's Chocolate")</f>
        <v>Zecora's Chocolate</v>
      </c>
      <c r="D962" s="7" t="s">
        <v>37</v>
      </c>
      <c r="H962" s="8" t="s">
        <v>1002</v>
      </c>
      <c r="I962" s="6" t="str">
        <f t="shared" si="39"/>
        <v>Soashamedpony</v>
      </c>
      <c r="X962" s="7" t="s">
        <v>107</v>
      </c>
      <c r="AG962" s="9">
        <v>40703.0</v>
      </c>
      <c r="AH962" s="9">
        <v>40703.0</v>
      </c>
    </row>
    <row r="963">
      <c r="A963" s="6" t="str">
        <f>HYPERLINK("https://archive.ph/o/kCXAs/https://web-beta.archive.org/web/20130315140312/http://clopfic.heroku.com/fics/306", "Applejack's Applesauce")</f>
        <v>Applejack's Applesauce</v>
      </c>
      <c r="D963" s="7" t="s">
        <v>37</v>
      </c>
      <c r="H963" s="8" t="s">
        <v>1003</v>
      </c>
      <c r="I963" s="6" t="str">
        <f t="shared" si="39"/>
        <v>Soashamedpony</v>
      </c>
      <c r="L963" s="7" t="s">
        <v>62</v>
      </c>
      <c r="Z963" s="7" t="s">
        <v>40</v>
      </c>
      <c r="AF963" s="7" t="s">
        <v>41</v>
      </c>
      <c r="AG963" s="9">
        <v>40700.0</v>
      </c>
      <c r="AH963" s="9">
        <v>40700.0</v>
      </c>
    </row>
    <row r="964">
      <c r="A964" s="6" t="str">
        <f>HYPERLINK("https://archive.ph/o/kCXAs/https://web-beta.archive.org/web/20130315140312/http://clopfic.heroku.com/fics/307", "Homecoming")</f>
        <v>Homecoming</v>
      </c>
      <c r="D964" s="7" t="s">
        <v>37</v>
      </c>
      <c r="H964" s="8" t="s">
        <v>1004</v>
      </c>
      <c r="I964" s="6" t="str">
        <f>HYPERLINK("https://archive.ph/o/kCXAs/https://web-beta.archive.org/web/20130315140312/http://clopfic.heroku.com/authors/1", "RagingSemi")</f>
        <v>RagingSemi</v>
      </c>
      <c r="J964" s="7" t="s">
        <v>39</v>
      </c>
      <c r="AG964" s="9">
        <v>40699.0</v>
      </c>
      <c r="AH964" s="9">
        <v>40699.0</v>
      </c>
    </row>
    <row r="965">
      <c r="A965" s="6" t="str">
        <f>HYPERLINK("https://archive.ph/o/kCXAs/https://web-beta.archive.org/web/20130315140312/http://clopfic.heroku.com/fics/308", "Loves Long Lost")</f>
        <v>Loves Long Lost</v>
      </c>
      <c r="E965" s="7" t="s">
        <v>44</v>
      </c>
      <c r="H965" s="8" t="s">
        <v>1005</v>
      </c>
      <c r="I965" s="6" t="str">
        <f>HYPERLINK("https://archive.ph/o/kCXAs/https://web-beta.archive.org/web/20130315140312/http://clopfic.heroku.com/authors/105", "Chiselite")</f>
        <v>Chiselite</v>
      </c>
      <c r="P965" s="7" t="s">
        <v>64</v>
      </c>
      <c r="Q965" s="7" t="s">
        <v>65</v>
      </c>
      <c r="AG965" s="9">
        <v>40698.0</v>
      </c>
      <c r="AH965" s="9">
        <v>40698.0</v>
      </c>
    </row>
    <row r="966">
      <c r="A966" s="6" t="str">
        <f>HYPERLINK("https://archive.ph/o/kCXAs/https://web-beta.archive.org/web/20130315140312/http://clopfic.heroku.com/fics/309", "Big Mac's Family Dinner {LSP2}")</f>
        <v>Big Mac's Family Dinner {LSP2}</v>
      </c>
      <c r="H966" s="8" t="s">
        <v>1006</v>
      </c>
      <c r="I966" s="6" t="str">
        <f>HYPERLINK("https://archive.ph/o/kCXAs/https://web-beta.archive.org/web/20130315140312/http://clopfic.heroku.com/authors/1", "RagingSemi")</f>
        <v>RagingSemi</v>
      </c>
      <c r="Q966" s="7" t="s">
        <v>65</v>
      </c>
      <c r="V966" s="7" t="s">
        <v>71</v>
      </c>
      <c r="AG966" s="9">
        <v>40694.0</v>
      </c>
      <c r="AH966" s="9">
        <v>40694.0</v>
      </c>
    </row>
    <row r="967">
      <c r="A967" s="6" t="str">
        <f>HYPERLINK("https://archive.ph/o/kCXAs/https://web-beta.archive.org/web/20130315140312/http://clopfic.heroku.com/fics/310", "Fun with Furniture")</f>
        <v>Fun with Furniture</v>
      </c>
      <c r="D967" s="7" t="s">
        <v>37</v>
      </c>
      <c r="G967" s="7" t="s">
        <v>75</v>
      </c>
      <c r="H967" s="3"/>
      <c r="I967" s="6" t="str">
        <f>HYPERLINK("https://archive.ph/o/kCXAs/https://web-beta.archive.org/web/20130315140312/http://clopfic.heroku.com/authors/413", "chiselite")</f>
        <v>chiselite</v>
      </c>
      <c r="P967" s="7" t="s">
        <v>64</v>
      </c>
      <c r="Q967" s="7" t="s">
        <v>65</v>
      </c>
      <c r="AG967" s="9">
        <v>40693.0</v>
      </c>
      <c r="AH967" s="9">
        <v>40693.0</v>
      </c>
    </row>
    <row r="968">
      <c r="A968" s="6" t="str">
        <f>HYPERLINK("https://archive.ph/o/kCXAs/https://web-beta.archive.org/web/20130315140312/http://clopfic.heroku.com/fics/311", "Healing Waters, Soothing Oils")</f>
        <v>Healing Waters, Soothing Oils</v>
      </c>
      <c r="H968" s="8" t="s">
        <v>1007</v>
      </c>
      <c r="I968" s="6" t="str">
        <f>HYPERLINK("https://archive.ph/o/kCXAs/https://web-beta.archive.org/web/20130315140312/http://clopfic.heroku.com/authors/100", "YamiMarik1994")</f>
        <v>YamiMarik1994</v>
      </c>
      <c r="Z968" s="7" t="s">
        <v>40</v>
      </c>
      <c r="AF968" s="7" t="s">
        <v>41</v>
      </c>
      <c r="AG968" s="9">
        <v>40693.0</v>
      </c>
      <c r="AH968" s="9">
        <v>40693.0</v>
      </c>
    </row>
    <row r="969">
      <c r="A969" s="6" t="str">
        <f>HYPERLINK("https://archive.ph/o/kCXAs/https://web-beta.archive.org/web/20130315140312/http://clopfic.heroku.com/fics/312", "Bronies Hang Out Too")</f>
        <v>Bronies Hang Out Too</v>
      </c>
      <c r="H969" s="8" t="s">
        <v>1008</v>
      </c>
      <c r="I969" s="6" t="str">
        <f t="shared" ref="I969:I971" si="40">HYPERLINK("https://archive.ph/o/kCXAs/https://web-beta.archive.org/web/20130315140312/http://clopfic.heroku.com/authors/1", "RagingSemi")</f>
        <v>RagingSemi</v>
      </c>
      <c r="Z969" s="7" t="s">
        <v>40</v>
      </c>
      <c r="AF969" s="7" t="s">
        <v>41</v>
      </c>
      <c r="AG969" s="9">
        <v>40691.0</v>
      </c>
      <c r="AH969" s="9">
        <v>40691.0</v>
      </c>
    </row>
    <row r="970">
      <c r="A970" s="6" t="str">
        <f>HYPERLINK("https://archive.ph/o/kCXAs/https://web-beta.archive.org/web/20130315140312/http://clopfic.heroku.com/fics/313", "Holy Guacamole")</f>
        <v>Holy Guacamole</v>
      </c>
      <c r="B970" s="7" t="s">
        <v>36</v>
      </c>
      <c r="H970" s="8" t="s">
        <v>1009</v>
      </c>
      <c r="I970" s="6" t="str">
        <f t="shared" si="40"/>
        <v>RagingSemi</v>
      </c>
      <c r="R970" s="7" t="s">
        <v>66</v>
      </c>
      <c r="Y970" s="7" t="s">
        <v>184</v>
      </c>
      <c r="AG970" s="9">
        <v>40689.0</v>
      </c>
      <c r="AH970" s="9">
        <v>40689.0</v>
      </c>
    </row>
    <row r="971">
      <c r="A971" s="6" t="str">
        <f>HYPERLINK("https://archive.ph/o/kCXAs/https://web-beta.archive.org/web/20130315140312/http://clopfic.heroku.com/fics/314", "Secret Butt Fun")</f>
        <v>Secret Butt Fun</v>
      </c>
      <c r="C971" s="7" t="s">
        <v>54</v>
      </c>
      <c r="H971" s="3"/>
      <c r="I971" s="6" t="str">
        <f t="shared" si="40"/>
        <v>RagingSemi</v>
      </c>
      <c r="J971" s="7" t="s">
        <v>39</v>
      </c>
      <c r="Z971" s="7" t="s">
        <v>40</v>
      </c>
      <c r="AD971" s="7" t="s">
        <v>111</v>
      </c>
      <c r="AG971" s="9">
        <v>40688.0</v>
      </c>
      <c r="AH971" s="9">
        <v>40688.0</v>
      </c>
    </row>
    <row r="972">
      <c r="A972" s="6" t="str">
        <f>HYPERLINK("https://archive.ph/o/kCXAs/https://web-beta.archive.org/web/20130315140312/http://clopfic.heroku.com/fics/315", "Initiations")</f>
        <v>Initiations</v>
      </c>
      <c r="H972" s="8" t="s">
        <v>1010</v>
      </c>
      <c r="I972" s="6" t="str">
        <f>HYPERLINK("https://archive.ph/o/kCXAs/https://web-beta.archive.org/web/20130315140312/http://clopfic.heroku.com/authors/107", "Syoee_b")</f>
        <v>Syoee_b</v>
      </c>
      <c r="R972" s="7" t="s">
        <v>66</v>
      </c>
      <c r="X972" s="7" t="s">
        <v>107</v>
      </c>
      <c r="AG972" s="9">
        <v>40685.0</v>
      </c>
      <c r="AH972" s="9">
        <v>40685.0</v>
      </c>
    </row>
    <row r="973">
      <c r="A973" s="6" t="str">
        <f>HYPERLINK("https://archive.ph/o/kCXAs/https://web-beta.archive.org/web/20130315140312/http://clopfic.heroku.com/fics/317", "Smell of Apples and More, The")</f>
        <v>Smell of Apples and More, The</v>
      </c>
      <c r="D973" s="7" t="s">
        <v>37</v>
      </c>
      <c r="H973" s="8" t="s">
        <v>1011</v>
      </c>
      <c r="I973" s="6" t="str">
        <f>HYPERLINK("https://archive.ph/o/kCXAs/https://web-beta.archive.org/web/20130315140312/http://clopfic.heroku.com/authors/100", "YamiMarik1994")</f>
        <v>YamiMarik1994</v>
      </c>
      <c r="L973" s="7" t="s">
        <v>62</v>
      </c>
      <c r="V973" s="7" t="s">
        <v>71</v>
      </c>
      <c r="AG973" s="9">
        <v>40684.0</v>
      </c>
      <c r="AH973" s="9">
        <v>40684.0</v>
      </c>
    </row>
    <row r="974">
      <c r="A974" s="6" t="str">
        <f>HYPERLINK("https://archive.ph/o/kCXAs/https://web-beta.archive.org/web/20130315140312/http://clopfic.heroku.com/fics/316", "Mile High in the Summer Sky, A")</f>
        <v>Mile High in the Summer Sky, A</v>
      </c>
      <c r="G974" s="7" t="s">
        <v>75</v>
      </c>
      <c r="H974" s="8" t="s">
        <v>1012</v>
      </c>
      <c r="I974" s="6" t="str">
        <f>HYPERLINK("https://archive.ph/o/kCXAs/https://web-beta.archive.org/web/20130315140312/http://clopfic.heroku.com/authors/73", "Buttersc0tchSundae")</f>
        <v>Buttersc0tchSundae</v>
      </c>
      <c r="O974" s="7" t="s">
        <v>51</v>
      </c>
      <c r="AG974" s="9">
        <v>40684.0</v>
      </c>
      <c r="AH974" s="9">
        <v>40684.0</v>
      </c>
    </row>
    <row r="975">
      <c r="A975" s="6" t="str">
        <f>HYPERLINK("https://archive.ph/o/kCXAs/https://web-beta.archive.org/web/20130315140312/http://clopfic.heroku.com/fics/319", "Pinkamina")</f>
        <v>Pinkamina</v>
      </c>
      <c r="C975" s="7" t="s">
        <v>54</v>
      </c>
      <c r="H975" s="8" t="s">
        <v>1013</v>
      </c>
      <c r="I975" s="6" t="str">
        <f>HYPERLINK("https://archive.ph/o/kCXAs/https://web-beta.archive.org/web/20130315140312/http://clopfic.heroku.com/authors/95", "MetalHooves")</f>
        <v>MetalHooves</v>
      </c>
      <c r="K975" s="7" t="s">
        <v>49</v>
      </c>
      <c r="Z975" s="7" t="s">
        <v>40</v>
      </c>
      <c r="AF975" s="7" t="s">
        <v>41</v>
      </c>
      <c r="AG975" s="9">
        <v>40683.0</v>
      </c>
      <c r="AH975" s="9">
        <v>40683.0</v>
      </c>
    </row>
    <row r="976">
      <c r="A976" s="6" t="str">
        <f>HYPERLINK("https://archive.ph/o/kCXAs/https://web-beta.archive.org/web/20130315140312/http://clopfic.heroku.com/fics/318", "Sex Ed Fest")</f>
        <v>Sex Ed Fest</v>
      </c>
      <c r="D976" s="7" t="s">
        <v>37</v>
      </c>
      <c r="H976" s="8" t="s">
        <v>1014</v>
      </c>
      <c r="I976" s="6" t="str">
        <f t="shared" ref="I976:I977" si="41">HYPERLINK("https://archive.ph/o/kCXAs/https://web-beta.archive.org/web/20130315140312/http://clopfic.heroku.com/authors/1", "RagingSemi")</f>
        <v>RagingSemi</v>
      </c>
      <c r="S976" s="7" t="s">
        <v>68</v>
      </c>
      <c r="T976" s="7" t="s">
        <v>59</v>
      </c>
      <c r="U976" s="7" t="s">
        <v>60</v>
      </c>
      <c r="Z976" s="7" t="s">
        <v>40</v>
      </c>
      <c r="AD976" s="7" t="s">
        <v>111</v>
      </c>
      <c r="AG976" s="9">
        <v>40683.0</v>
      </c>
      <c r="AH976" s="9">
        <v>40683.0</v>
      </c>
    </row>
    <row r="977">
      <c r="A977" s="6" t="str">
        <f>HYPERLINK("https://archive.ph/o/kCXAs/https://web-beta.archive.org/web/20130315140312/http://clopfic.heroku.com/fics/320", "Blood (Over a Barrel pt. 4)")</f>
        <v>Blood (Over a Barrel pt. 4)</v>
      </c>
      <c r="E977" s="7" t="s">
        <v>44</v>
      </c>
      <c r="H977" s="8" t="s">
        <v>1015</v>
      </c>
      <c r="I977" s="6" t="str">
        <f t="shared" si="41"/>
        <v>RagingSemi</v>
      </c>
      <c r="M977" s="7" t="s">
        <v>56</v>
      </c>
      <c r="Z977" s="7" t="s">
        <v>40</v>
      </c>
      <c r="AE977" s="7" t="s">
        <v>43</v>
      </c>
      <c r="AG977" s="9">
        <v>40681.0</v>
      </c>
      <c r="AH977" s="9">
        <v>40681.0</v>
      </c>
    </row>
    <row r="978">
      <c r="A978" s="6" t="str">
        <f>HYPERLINK("https://archive.ph/o/kCXAs/https://web-beta.archive.org/web/20130315140312/http://clopfic.heroku.com/fics/321", "Diamond Takes it Rough")</f>
        <v>Diamond Takes it Rough</v>
      </c>
      <c r="B978" s="7" t="s">
        <v>36</v>
      </c>
      <c r="H978" s="8" t="s">
        <v>1016</v>
      </c>
      <c r="I978" s="6" t="str">
        <f>HYPERLINK("https://archive.ph/o/kCXAs/https://web-beta.archive.org/web/20130315140312/http://clopfic.heroku.com/authors/96", "Fairy Slayer")</f>
        <v>Fairy Slayer</v>
      </c>
      <c r="T978" s="7" t="s">
        <v>59</v>
      </c>
      <c r="Z978" s="7" t="s">
        <v>40</v>
      </c>
      <c r="AE978" s="7" t="s">
        <v>43</v>
      </c>
      <c r="AG978" s="9">
        <v>40680.0</v>
      </c>
      <c r="AH978" s="9">
        <v>40680.0</v>
      </c>
    </row>
    <row r="979">
      <c r="A979" s="6" t="str">
        <f>HYPERLINK("https://archive.ph/o/kCXAs/https://web-beta.archive.org/web/20130315140312/http://clopfic.heroku.com/fics/323", "All Gilda Needs is a Little Discipline")</f>
        <v>All Gilda Needs is a Little Discipline</v>
      </c>
      <c r="D979" s="7" t="s">
        <v>37</v>
      </c>
      <c r="G979" s="7" t="s">
        <v>75</v>
      </c>
      <c r="H979" s="8" t="s">
        <v>1017</v>
      </c>
      <c r="I979" s="6" t="str">
        <f>HYPERLINK("https://archive.ph/o/kCXAs/https://web-beta.archive.org/web/20130315140312/http://clopfic.heroku.com/authors/108", "Pacce")</f>
        <v>Pacce</v>
      </c>
      <c r="J979" s="7" t="s">
        <v>39</v>
      </c>
      <c r="Y979" s="7" t="s">
        <v>184</v>
      </c>
      <c r="AG979" s="9">
        <v>40678.0</v>
      </c>
      <c r="AH979" s="9">
        <v>40678.0</v>
      </c>
    </row>
    <row r="980">
      <c r="A980" s="6" t="str">
        <f>HYPERLINK("https://archive.ph/o/kCXAs/https://web-beta.archive.org/web/20130315140312/http://clopfic.heroku.com/fics/322", "Foalin' Around with the CMC")</f>
        <v>Foalin' Around with the CMC</v>
      </c>
      <c r="C980" s="7" t="s">
        <v>54</v>
      </c>
      <c r="E980" s="7" t="s">
        <v>44</v>
      </c>
      <c r="H980" s="8" t="s">
        <v>953</v>
      </c>
      <c r="I980" s="6" t="str">
        <f>HYPERLINK("https://archive.ph/o/kCXAs/https://web-beta.archive.org/web/20130315140312/http://clopfic.heroku.com/authors/80", "Hotsauce")</f>
        <v>Hotsauce</v>
      </c>
      <c r="S980" s="7" t="s">
        <v>68</v>
      </c>
      <c r="T980" s="7" t="s">
        <v>59</v>
      </c>
      <c r="U980" s="7" t="s">
        <v>60</v>
      </c>
      <c r="Z980" s="7" t="s">
        <v>40</v>
      </c>
      <c r="AF980" s="7" t="s">
        <v>41</v>
      </c>
      <c r="AG980" s="9">
        <v>40678.0</v>
      </c>
      <c r="AH980" s="9">
        <v>40678.0</v>
      </c>
    </row>
    <row r="981">
      <c r="A981" s="6" t="str">
        <f>HYPERLINK("https://archive.ph/o/kCXAs/https://web-beta.archive.org/web/20130315140312/http://clopfic.heroku.com/fics/326", "Derpily Ever After")</f>
        <v>Derpily Ever After</v>
      </c>
      <c r="C981" s="7" t="s">
        <v>54</v>
      </c>
      <c r="G981" s="7" t="s">
        <v>75</v>
      </c>
      <c r="H981" s="8" t="s">
        <v>1018</v>
      </c>
      <c r="I981" s="6" t="str">
        <f t="shared" ref="I981:I984" si="42">HYPERLINK("https://archive.ph/o/kCXAs/https://web-beta.archive.org/web/20130315140312/http://clopfic.heroku.com/authors/95", "MetalHooves")</f>
        <v>MetalHooves</v>
      </c>
      <c r="Y981" s="7" t="s">
        <v>184</v>
      </c>
      <c r="Z981" s="7" t="s">
        <v>40</v>
      </c>
      <c r="AA981" s="7" t="s">
        <v>113</v>
      </c>
      <c r="AF981" s="7" t="s">
        <v>41</v>
      </c>
      <c r="AG981" s="9">
        <v>40676.0</v>
      </c>
      <c r="AH981" s="9">
        <v>40676.0</v>
      </c>
    </row>
    <row r="982">
      <c r="A982" s="6" t="str">
        <f>HYPERLINK("https://archive.ph/o/kCXAs/https://web-beta.archive.org/web/20130315140312/http://clopfic.heroku.com/fics/325", "Catharsis")</f>
        <v>Catharsis</v>
      </c>
      <c r="C982" s="7" t="s">
        <v>54</v>
      </c>
      <c r="G982" s="7" t="s">
        <v>75</v>
      </c>
      <c r="H982" s="8" t="s">
        <v>1018</v>
      </c>
      <c r="I982" s="6" t="str">
        <f t="shared" si="42"/>
        <v>MetalHooves</v>
      </c>
      <c r="Y982" s="7" t="s">
        <v>184</v>
      </c>
      <c r="Z982" s="7" t="s">
        <v>40</v>
      </c>
      <c r="AF982" s="7" t="s">
        <v>41</v>
      </c>
      <c r="AG982" s="9">
        <v>40676.0</v>
      </c>
      <c r="AH982" s="9">
        <v>40676.0</v>
      </c>
    </row>
    <row r="983">
      <c r="A983" s="6" t="str">
        <f>HYPERLINK("https://archive.ph/o/kCXAs/https://web-beta.archive.org/web/20130315140312/http://clopfic.heroku.com/fics/327", "Metamorphosis")</f>
        <v>Metamorphosis</v>
      </c>
      <c r="C983" s="7" t="s">
        <v>54</v>
      </c>
      <c r="H983" s="8" t="s">
        <v>1019</v>
      </c>
      <c r="I983" s="6" t="str">
        <f t="shared" si="42"/>
        <v>MetalHooves</v>
      </c>
      <c r="Z983" s="7" t="s">
        <v>40</v>
      </c>
      <c r="AB983" s="7" t="s">
        <v>101</v>
      </c>
      <c r="AF983" s="7" t="s">
        <v>41</v>
      </c>
      <c r="AG983" s="9">
        <v>40676.0</v>
      </c>
      <c r="AH983" s="9">
        <v>40676.0</v>
      </c>
    </row>
    <row r="984">
      <c r="A984" s="6" t="str">
        <f>HYPERLINK("https://archive.ph/o/kCXAs/https://web-beta.archive.org/web/20130315140312/http://clopfic.heroku.com/fics/324", "Angel, An")</f>
        <v>Angel, An</v>
      </c>
      <c r="C984" s="7" t="s">
        <v>54</v>
      </c>
      <c r="G984" s="7" t="s">
        <v>75</v>
      </c>
      <c r="H984" s="8" t="s">
        <v>1018</v>
      </c>
      <c r="I984" s="6" t="str">
        <f t="shared" si="42"/>
        <v>MetalHooves</v>
      </c>
      <c r="Y984" s="7" t="s">
        <v>184</v>
      </c>
      <c r="Z984" s="7" t="s">
        <v>40</v>
      </c>
      <c r="AA984" s="7" t="s">
        <v>113</v>
      </c>
      <c r="AF984" s="7" t="s">
        <v>41</v>
      </c>
      <c r="AG984" s="9">
        <v>40676.0</v>
      </c>
      <c r="AH984" s="9">
        <v>40676.0</v>
      </c>
    </row>
    <row r="985">
      <c r="A985" s="6" t="str">
        <f>HYPERLINK("https://archive.ph/o/kCXAs/https://web-beta.archive.org/web/20130315140312/http://clopfic.heroku.com/fics/328", "Dazzle and Orion")</f>
        <v>Dazzle and Orion</v>
      </c>
      <c r="H985" s="8" t="s">
        <v>1020</v>
      </c>
      <c r="I985" s="6" t="str">
        <f>HYPERLINK("https://archive.ph/o/kCXAs/https://web-beta.archive.org/web/20130315140312/http://clopfic.heroku.com/authors/1", "RagingSemi")</f>
        <v>RagingSemi</v>
      </c>
      <c r="Z985" s="7" t="s">
        <v>40</v>
      </c>
      <c r="AF985" s="7" t="s">
        <v>41</v>
      </c>
      <c r="AG985" s="9">
        <v>40675.0</v>
      </c>
      <c r="AH985" s="9">
        <v>40675.0</v>
      </c>
    </row>
    <row r="986">
      <c r="A986" s="6" t="str">
        <f>HYPERLINK("https://archive.ph/o/kCXAs/https://web-beta.archive.org/web/20130315140312/http://clopfic.heroku.com/fics/329", "Smoothies are Delicious")</f>
        <v>Smoothies are Delicious</v>
      </c>
      <c r="G986" s="7" t="s">
        <v>75</v>
      </c>
      <c r="H986" s="8" t="s">
        <v>1021</v>
      </c>
      <c r="I986" s="6" t="str">
        <f>HYPERLINK("https://archive.ph/o/kCXAs/https://web-beta.archive.org/web/20130315140312/http://clopfic.heroku.com/authors/109", "Arcy")</f>
        <v>Arcy</v>
      </c>
      <c r="J986" s="7" t="s">
        <v>39</v>
      </c>
      <c r="W986" s="7" t="s">
        <v>69</v>
      </c>
      <c r="AG986" s="9">
        <v>40673.0</v>
      </c>
      <c r="AH986" s="9">
        <v>40673.0</v>
      </c>
    </row>
    <row r="987">
      <c r="A987" s="6" t="str">
        <f>HYPERLINK("https://archive.ph/o/kCXAs/https://web-beta.archive.org/web/20130315140312/http://clopfic.heroku.com/fics/331", "My Little Masochist")</f>
        <v>My Little Masochist</v>
      </c>
      <c r="D987" s="7" t="s">
        <v>37</v>
      </c>
      <c r="H987" s="8" t="s">
        <v>1022</v>
      </c>
      <c r="I987" s="6" t="str">
        <f>HYPERLINK("https://archive.ph/o/kCXAs/https://web-beta.archive.org/web/20130315140312/http://clopfic.heroku.com/authors/68", "DarkJester")</f>
        <v>DarkJester</v>
      </c>
      <c r="K987" s="7" t="s">
        <v>49</v>
      </c>
      <c r="M987" s="7" t="s">
        <v>56</v>
      </c>
      <c r="T987" s="7" t="s">
        <v>59</v>
      </c>
      <c r="AG987" s="9">
        <v>40671.0</v>
      </c>
      <c r="AH987" s="9">
        <v>40671.0</v>
      </c>
    </row>
    <row r="988">
      <c r="A988" s="6" t="str">
        <f>HYPERLINK("https://archive.ph/o/kCXAs/https://web-beta.archive.org/web/20130315140312/http://clopfic.heroku.com/fics/330", "Shadowbolts and Nightmare Moon")</f>
        <v>Shadowbolts and Nightmare Moon</v>
      </c>
      <c r="B988" s="7" t="s">
        <v>36</v>
      </c>
      <c r="H988" s="8" t="s">
        <v>1023</v>
      </c>
      <c r="I988" s="6" t="str">
        <f t="shared" ref="I988:I989" si="43">HYPERLINK("https://archive.ph/o/kCXAs/https://web-beta.archive.org/web/20130315140312/http://clopfic.heroku.com/authors/1", "RagingSemi")</f>
        <v>RagingSemi</v>
      </c>
      <c r="Q988" s="7" t="s">
        <v>65</v>
      </c>
      <c r="Z988" s="7" t="s">
        <v>40</v>
      </c>
      <c r="AE988" s="7" t="s">
        <v>43</v>
      </c>
      <c r="AG988" s="9">
        <v>40671.0</v>
      </c>
      <c r="AH988" s="9">
        <v>40671.0</v>
      </c>
    </row>
    <row r="989">
      <c r="A989" s="6" t="str">
        <f>HYPERLINK("https://archive.ph/o/kCXAs/https://web-beta.archive.org/web/20130315140312/http://clopfic.heroku.com/fics/332", "Luna's Happy Party (Episode VI)")</f>
        <v>Luna's Happy Party (Episode VI)</v>
      </c>
      <c r="C989" s="7" t="s">
        <v>54</v>
      </c>
      <c r="H989" s="8" t="s">
        <v>1024</v>
      </c>
      <c r="I989" s="6" t="str">
        <f t="shared" si="43"/>
        <v>RagingSemi</v>
      </c>
      <c r="P989" s="7" t="s">
        <v>64</v>
      </c>
      <c r="Q989" s="7" t="s">
        <v>65</v>
      </c>
      <c r="AG989" s="9">
        <v>40669.0</v>
      </c>
      <c r="AH989" s="9">
        <v>40669.0</v>
      </c>
    </row>
    <row r="990">
      <c r="A990" s="6" t="str">
        <f>HYPERLINK("https://archive.ph/o/kCXAs/https://web-beta.archive.org/web/20130315140312/http://clopfic.heroku.com/fics/333", "Here's To You, Miss Pinkamena Pie!")</f>
        <v>Here's To You, Miss Pinkamena Pie!</v>
      </c>
      <c r="E990" s="7" t="s">
        <v>44</v>
      </c>
      <c r="H990" s="8" t="s">
        <v>1025</v>
      </c>
      <c r="I990" s="6" t="str">
        <f>HYPERLINK("https://archive.ph/o/kCXAs/https://web-beta.archive.org/web/20130315140312/http://clopfic.heroku.com/authors/73", "Buttersc0tchSundae")</f>
        <v>Buttersc0tchSundae</v>
      </c>
      <c r="K990" s="7" t="s">
        <v>49</v>
      </c>
      <c r="R990" s="7" t="s">
        <v>66</v>
      </c>
      <c r="AG990" s="9">
        <v>40668.0</v>
      </c>
      <c r="AH990" s="9">
        <v>40668.0</v>
      </c>
    </row>
    <row r="991">
      <c r="A991" s="6" t="str">
        <f>HYPERLINK("https://archive.ph/o/kCXAs/https://web-beta.archive.org/web/20130315140312/http://clopfic.heroku.com/fics/334", "Five Ponies")</f>
        <v>Five Ponies</v>
      </c>
      <c r="H991" s="8" t="s">
        <v>1026</v>
      </c>
      <c r="I991" s="6" t="str">
        <f>HYPERLINK("https://archive.ph/o/kCXAs/https://web-beta.archive.org/web/20130315140312/http://clopfic.heroku.com/authors/1", "RagingSemi")</f>
        <v>RagingSemi</v>
      </c>
      <c r="M991" s="7" t="s">
        <v>56</v>
      </c>
      <c r="AG991" s="9">
        <v>40666.0</v>
      </c>
      <c r="AH991" s="9">
        <v>40666.0</v>
      </c>
    </row>
    <row r="992">
      <c r="A992" s="6" t="str">
        <f>HYPERLINK("https://archive.ph/o/kCXAs/https://web-beta.archive.org/web/20130315140312/http://clopfic.heroku.com/fics/335", "Belle and the Shy, The")</f>
        <v>Belle and the Shy, The</v>
      </c>
      <c r="H992" s="8" t="s">
        <v>1027</v>
      </c>
      <c r="I992" s="6" t="str">
        <f>HYPERLINK("https://archive.ph/o/kCXAs/https://web-beta.archive.org/web/20130315140312/http://clopfic.heroku.com/authors/110", "MisterNonymous")</f>
        <v>MisterNonymous</v>
      </c>
      <c r="O992" s="7" t="s">
        <v>51</v>
      </c>
      <c r="S992" s="7" t="s">
        <v>68</v>
      </c>
      <c r="U992" s="7" t="s">
        <v>60</v>
      </c>
      <c r="AG992" s="9">
        <v>40664.0</v>
      </c>
      <c r="AH992" s="9">
        <v>40664.0</v>
      </c>
    </row>
    <row r="993">
      <c r="A993" s="6" t="str">
        <f>HYPERLINK("https://archive.ph/o/kCXAs/https://web-beta.archive.org/web/20130315140312/http://clopfic.heroku.com/fics/344", "Partying Hard")</f>
        <v>Partying Hard</v>
      </c>
      <c r="C993" s="7" t="s">
        <v>54</v>
      </c>
      <c r="G993" s="7" t="s">
        <v>75</v>
      </c>
      <c r="H993" s="8" t="s">
        <v>1028</v>
      </c>
      <c r="I993" s="6" t="str">
        <f t="shared" ref="I993:I995" si="44">HYPERLINK("https://archive.ph/o/kCXAs/https://web-beta.archive.org/web/20130315140312/http://clopfic.heroku.com/authors/95", "MetalHooves")</f>
        <v>MetalHooves</v>
      </c>
      <c r="Z993" s="7" t="s">
        <v>40</v>
      </c>
      <c r="AF993" s="7" t="s">
        <v>41</v>
      </c>
      <c r="AG993" s="9">
        <v>40664.0</v>
      </c>
      <c r="AH993" s="9">
        <v>40664.0</v>
      </c>
    </row>
    <row r="994">
      <c r="A994" s="6" t="str">
        <f>HYPERLINK("https://archive.ph/o/kCXAs/https://web-beta.archive.org/web/20130315140312/http://clopfic.heroku.com/fics/343", "Like a Hawk")</f>
        <v>Like a Hawk</v>
      </c>
      <c r="C994" s="7" t="s">
        <v>54</v>
      </c>
      <c r="G994" s="7" t="s">
        <v>75</v>
      </c>
      <c r="H994" s="8" t="s">
        <v>1018</v>
      </c>
      <c r="I994" s="6" t="str">
        <f t="shared" si="44"/>
        <v>MetalHooves</v>
      </c>
      <c r="Y994" s="7" t="s">
        <v>184</v>
      </c>
      <c r="Z994" s="7" t="s">
        <v>40</v>
      </c>
      <c r="AF994" s="7" t="s">
        <v>41</v>
      </c>
      <c r="AG994" s="9">
        <v>40664.0</v>
      </c>
      <c r="AH994" s="9">
        <v>40664.0</v>
      </c>
    </row>
    <row r="995">
      <c r="A995" s="6" t="str">
        <f>HYPERLINK("https://archive.ph/o/kCXAs/https://web-beta.archive.org/web/20130315140312/http://clopfic.heroku.com/fics/342", "Great and Powerful")</f>
        <v>Great and Powerful</v>
      </c>
      <c r="C995" s="7" t="s">
        <v>54</v>
      </c>
      <c r="G995" s="7" t="s">
        <v>75</v>
      </c>
      <c r="H995" s="8" t="s">
        <v>1018</v>
      </c>
      <c r="I995" s="6" t="str">
        <f t="shared" si="44"/>
        <v>MetalHooves</v>
      </c>
      <c r="W995" s="7" t="s">
        <v>69</v>
      </c>
      <c r="Z995" s="7" t="s">
        <v>40</v>
      </c>
      <c r="AF995" s="7" t="s">
        <v>41</v>
      </c>
      <c r="AG995" s="9">
        <v>40664.0</v>
      </c>
      <c r="AH995" s="9">
        <v>40664.0</v>
      </c>
    </row>
    <row r="996">
      <c r="A996" s="6" t="str">
        <f>HYPERLINK("https://archive.ph/o/kCXAs/https://web-beta.archive.org/web/20130315140312/http://clopfic.heroku.com/fics/336", "Pinkie Pie's Special Cakes")</f>
        <v>Pinkie Pie's Special Cakes</v>
      </c>
      <c r="D996" s="7" t="s">
        <v>37</v>
      </c>
      <c r="H996" s="8" t="s">
        <v>1029</v>
      </c>
      <c r="I996" s="6" t="str">
        <f>HYPERLINK("https://archive.ph/o/kCXAs/https://web-beta.archive.org/web/20130315140312/http://clopfic.heroku.com/authors/110", "MisterNonymous")</f>
        <v>MisterNonymous</v>
      </c>
      <c r="K996" s="7" t="s">
        <v>49</v>
      </c>
      <c r="M996" s="7" t="s">
        <v>56</v>
      </c>
      <c r="N996" s="7" t="s">
        <v>47</v>
      </c>
      <c r="S996" s="7" t="s">
        <v>68</v>
      </c>
      <c r="T996" s="7" t="s">
        <v>59</v>
      </c>
      <c r="AG996" s="9">
        <v>40664.0</v>
      </c>
      <c r="AH996" s="9">
        <v>40664.0</v>
      </c>
    </row>
    <row r="997">
      <c r="A997" s="6" t="str">
        <f>HYPERLINK("https://archive.ph/o/kCXAs/https://web-beta.archive.org/web/20130315140312/http://clopfic.heroku.com/fics/341", "Evening With Derpy, An")</f>
        <v>Evening With Derpy, An</v>
      </c>
      <c r="C997" s="7" t="s">
        <v>54</v>
      </c>
      <c r="G997" s="7" t="s">
        <v>75</v>
      </c>
      <c r="H997" s="8" t="s">
        <v>1030</v>
      </c>
      <c r="I997" s="6" t="str">
        <f t="shared" ref="I997:I999" si="45">HYPERLINK("https://archive.ph/o/kCXAs/https://web-beta.archive.org/web/20130315140312/http://clopfic.heroku.com/authors/95", "MetalHooves")</f>
        <v>MetalHooves</v>
      </c>
      <c r="Y997" s="7" t="s">
        <v>184</v>
      </c>
      <c r="Z997" s="7" t="s">
        <v>40</v>
      </c>
      <c r="AA997" s="7" t="s">
        <v>113</v>
      </c>
      <c r="AF997" s="7" t="s">
        <v>41</v>
      </c>
      <c r="AG997" s="9">
        <v>40664.0</v>
      </c>
      <c r="AH997" s="9">
        <v>40664.0</v>
      </c>
    </row>
    <row r="998">
      <c r="A998" s="6" t="str">
        <f>HYPERLINK("https://archive.ph/o/kCXAs/https://web-beta.archive.org/web/20130315140312/http://clopfic.heroku.com/fics/339", "Day at the Spa, A")</f>
        <v>Day at the Spa, A</v>
      </c>
      <c r="C998" s="7" t="s">
        <v>54</v>
      </c>
      <c r="H998" s="8" t="s">
        <v>1031</v>
      </c>
      <c r="I998" s="6" t="str">
        <f t="shared" si="45"/>
        <v>MetalHooves</v>
      </c>
      <c r="Z998" s="7" t="s">
        <v>40</v>
      </c>
      <c r="AF998" s="7" t="s">
        <v>41</v>
      </c>
      <c r="AG998" s="9">
        <v>40664.0</v>
      </c>
      <c r="AH998" s="9">
        <v>40664.0</v>
      </c>
    </row>
    <row r="999">
      <c r="A999" s="6" t="str">
        <f>HYPERLINK("https://archive.ph/o/kCXAs/https://web-beta.archive.org/web/20130315140312/http://clopfic.heroku.com/fics/338", "And ALL Awesome")</f>
        <v>And ALL Awesome</v>
      </c>
      <c r="C999" s="7" t="s">
        <v>54</v>
      </c>
      <c r="H999" s="8" t="s">
        <v>1032</v>
      </c>
      <c r="I999" s="6" t="str">
        <f t="shared" si="45"/>
        <v>MetalHooves</v>
      </c>
      <c r="M999" s="7" t="s">
        <v>56</v>
      </c>
      <c r="Y999" s="7" t="s">
        <v>184</v>
      </c>
      <c r="Z999" s="7" t="s">
        <v>40</v>
      </c>
      <c r="AF999" s="7" t="s">
        <v>41</v>
      </c>
      <c r="AG999" s="9">
        <v>40664.0</v>
      </c>
      <c r="AH999" s="9">
        <v>40664.0</v>
      </c>
    </row>
    <row r="1000">
      <c r="A1000" s="6" t="str">
        <f>HYPERLINK("https://archive.ph/o/kCXAs/https://web-beta.archive.org/web/20130315140312/http://clopfic.heroku.com/fics/337", "Confound Those Cutie Marks")</f>
        <v>Confound Those Cutie Marks</v>
      </c>
      <c r="H1000" s="8" t="s">
        <v>1033</v>
      </c>
      <c r="I1000" s="6" t="str">
        <f>HYPERLINK("https://archive.ph/o/kCXAs/https://web-beta.archive.org/web/20130315140312/http://clopfic.heroku.com/authors/96", "Fairy Slayer")</f>
        <v>Fairy Slayer</v>
      </c>
      <c r="J1000" s="7" t="s">
        <v>39</v>
      </c>
      <c r="N1000" s="7" t="s">
        <v>47</v>
      </c>
      <c r="U1000" s="7" t="s">
        <v>60</v>
      </c>
      <c r="AG1000" s="9">
        <v>40664.0</v>
      </c>
      <c r="AH1000" s="9">
        <v>40664.0</v>
      </c>
    </row>
    <row r="1001">
      <c r="A1001" s="6" t="str">
        <f>HYPERLINK("https://archive.ph/o/kCXAs/https://web-beta.archive.org/web/20130315140312/http://clopfic.heroku.com/fics/346", "Workhorse, The")</f>
        <v>Workhorse, The</v>
      </c>
      <c r="C1001" s="7" t="s">
        <v>54</v>
      </c>
      <c r="H1001" s="8" t="s">
        <v>1034</v>
      </c>
      <c r="I1001" s="6" t="str">
        <f t="shared" ref="I1001:I1003" si="46">HYPERLINK("https://archive.ph/o/kCXAs/https://web-beta.archive.org/web/20130315140312/http://clopfic.heroku.com/authors/95", "MetalHooves")</f>
        <v>MetalHooves</v>
      </c>
      <c r="V1001" s="7" t="s">
        <v>71</v>
      </c>
      <c r="Z1001" s="7" t="s">
        <v>40</v>
      </c>
      <c r="AF1001" s="7" t="s">
        <v>41</v>
      </c>
      <c r="AG1001" s="9">
        <v>40664.0</v>
      </c>
      <c r="AH1001" s="9">
        <v>40664.0</v>
      </c>
    </row>
    <row r="1002">
      <c r="A1002" s="6" t="str">
        <f>HYPERLINK("https://archive.ph/o/kCXAs/https://web-beta.archive.org/web/20130315140312/http://clopfic.heroku.com/fics/345", "Politics After Dark")</f>
        <v>Politics After Dark</v>
      </c>
      <c r="H1002" s="8" t="s">
        <v>1035</v>
      </c>
      <c r="I1002" s="6" t="str">
        <f t="shared" si="46"/>
        <v>MetalHooves</v>
      </c>
      <c r="Z1002" s="7" t="s">
        <v>40</v>
      </c>
      <c r="AF1002" s="7" t="s">
        <v>41</v>
      </c>
      <c r="AG1002" s="9">
        <v>40664.0</v>
      </c>
      <c r="AH1002" s="9">
        <v>40664.0</v>
      </c>
    </row>
    <row r="1003">
      <c r="A1003" s="6" t="str">
        <f>HYPERLINK("https://archive.ph/o/kCXAs/https://web-beta.archive.org/web/20130315140312/http://clopfic.heroku.com/fics/340", "Eeeyup")</f>
        <v>Eeeyup</v>
      </c>
      <c r="C1003" s="7" t="s">
        <v>54</v>
      </c>
      <c r="G1003" s="7" t="s">
        <v>75</v>
      </c>
      <c r="H1003" s="8" t="s">
        <v>1036</v>
      </c>
      <c r="I1003" s="6" t="str">
        <f t="shared" si="46"/>
        <v>MetalHooves</v>
      </c>
      <c r="V1003" s="7" t="s">
        <v>71</v>
      </c>
      <c r="Z1003" s="7" t="s">
        <v>40</v>
      </c>
      <c r="AF1003" s="7" t="s">
        <v>41</v>
      </c>
      <c r="AG1003" s="9">
        <v>40664.0</v>
      </c>
      <c r="AH1003" s="9">
        <v>40664.0</v>
      </c>
    </row>
    <row r="1004">
      <c r="A1004" s="6" t="str">
        <f>HYPERLINK("https://archive.ph/o/kCXAs/https://web-beta.archive.org/web/20130315140312/http://clopfic.heroku.com/fics/347", "Pushing Buttons")</f>
        <v>Pushing Buttons</v>
      </c>
      <c r="C1004" s="7" t="s">
        <v>54</v>
      </c>
      <c r="H1004" s="8" t="s">
        <v>1037</v>
      </c>
      <c r="I1004" s="6" t="str">
        <f>HYPERLINK("https://archive.ph/o/kCXAs/https://web-beta.archive.org/web/20130315140312/http://clopfic.heroku.com/authors/1", "RagingSemi")</f>
        <v>RagingSemi</v>
      </c>
      <c r="L1004" s="7" t="s">
        <v>62</v>
      </c>
      <c r="V1004" s="7" t="s">
        <v>71</v>
      </c>
      <c r="AG1004" s="9">
        <v>40661.0</v>
      </c>
      <c r="AH1004" s="9">
        <v>40661.0</v>
      </c>
    </row>
    <row r="1005">
      <c r="A1005" s="6" t="str">
        <f>HYPERLINK("https://archive.ph/o/kCXAs/https://web-beta.archive.org/web/20130315140312/http://clopfic.heroku.com/fics/348", "Luxury Lotus Spa Follies, The")</f>
        <v>Luxury Lotus Spa Follies, The</v>
      </c>
      <c r="H1005" s="8" t="s">
        <v>1038</v>
      </c>
      <c r="I1005" s="6" t="str">
        <f>HYPERLINK("https://archive.ph/o/kCXAs/https://web-beta.archive.org/web/20130315140312/http://clopfic.heroku.com/authors/73", "Buttersc0tchSundae")</f>
        <v>Buttersc0tchSundae</v>
      </c>
      <c r="J1005" s="7" t="s">
        <v>39</v>
      </c>
      <c r="W1005" s="7" t="s">
        <v>69</v>
      </c>
      <c r="AG1005" s="9">
        <v>40660.0</v>
      </c>
      <c r="AH1005" s="9">
        <v>40660.0</v>
      </c>
    </row>
    <row r="1006">
      <c r="A1006" s="6" t="str">
        <f>HYPERLINK("https://archive.ph/o/kCXAs/https://web-beta.archive.org/web/20130315140312/http://clopfic.heroku.com/fics/349", "Gazing Through Twilit Eyes")</f>
        <v>Gazing Through Twilit Eyes</v>
      </c>
      <c r="H1006" s="8" t="s">
        <v>1039</v>
      </c>
      <c r="I1006" s="6" t="str">
        <f>HYPERLINK("https://archive.ph/o/kCXAs/https://web-beta.archive.org/web/20130315140312/http://clopfic.heroku.com/authors/136", "Eirún")</f>
        <v>Eirún</v>
      </c>
      <c r="J1006" s="7" t="s">
        <v>39</v>
      </c>
      <c r="Z1006" s="7" t="s">
        <v>40</v>
      </c>
      <c r="AF1006" s="7" t="s">
        <v>41</v>
      </c>
      <c r="AG1006" s="9">
        <v>40660.0</v>
      </c>
      <c r="AH1006" s="9">
        <v>40660.0</v>
      </c>
    </row>
    <row r="1007">
      <c r="A1007" s="6" t="str">
        <f>HYPERLINK("https://archive.ph/o/kCXAs/https://web-beta.archive.org/web/20130315140312/http://clopfic.heroku.com/fics/350", "Pulling Strings")</f>
        <v>Pulling Strings</v>
      </c>
      <c r="C1007" s="7" t="s">
        <v>54</v>
      </c>
      <c r="D1007" s="7" t="s">
        <v>37</v>
      </c>
      <c r="H1007" s="8" t="s">
        <v>1040</v>
      </c>
      <c r="I1007" s="6" t="str">
        <f t="shared" ref="I1007:I1008" si="47">HYPERLINK("https://archive.ph/o/kCXAs/https://web-beta.archive.org/web/20130315140312/http://clopfic.heroku.com/authors/1", "RagingSemi")</f>
        <v>RagingSemi</v>
      </c>
      <c r="S1007" s="7" t="s">
        <v>68</v>
      </c>
      <c r="T1007" s="7" t="s">
        <v>59</v>
      </c>
      <c r="U1007" s="7" t="s">
        <v>60</v>
      </c>
      <c r="AG1007" s="9">
        <v>40659.0</v>
      </c>
      <c r="AH1007" s="9">
        <v>40659.0</v>
      </c>
    </row>
    <row r="1008">
      <c r="A1008" s="6" t="str">
        <f>HYPERLINK("https://archive.ph/o/kCXAs/https://web-beta.archive.org/web/20130315140312/http://clopfic.heroku.com/fics/352", "Boner")</f>
        <v>Boner</v>
      </c>
      <c r="D1008" s="7" t="s">
        <v>37</v>
      </c>
      <c r="H1008" s="8" t="s">
        <v>1041</v>
      </c>
      <c r="I1008" s="6" t="str">
        <f t="shared" si="47"/>
        <v>RagingSemi</v>
      </c>
      <c r="Z1008" s="7" t="s">
        <v>40</v>
      </c>
      <c r="AB1008" s="7" t="s">
        <v>101</v>
      </c>
      <c r="AC1008" s="7" t="s">
        <v>102</v>
      </c>
      <c r="AG1008" s="9">
        <v>40657.0</v>
      </c>
      <c r="AH1008" s="9">
        <v>40657.0</v>
      </c>
    </row>
    <row r="1009">
      <c r="A1009" s="6" t="str">
        <f>HYPERLINK("https://archive.ph/o/kCXAs/https://web-beta.archive.org/web/20130315140312/http://clopfic.heroku.com/fics/351", "Scootaloo's Love for Pain")</f>
        <v>Scootaloo's Love for Pain</v>
      </c>
      <c r="D1009" s="7" t="s">
        <v>37</v>
      </c>
      <c r="H1009" s="8" t="s">
        <v>1042</v>
      </c>
      <c r="I1009" s="6" t="str">
        <f>HYPERLINK("https://archive.ph/o/kCXAs/https://web-beta.archive.org/web/20130315140312/http://clopfic.heroku.com/authors/110", "MisterNonymous")</f>
        <v>MisterNonymous</v>
      </c>
      <c r="M1009" s="7" t="s">
        <v>56</v>
      </c>
      <c r="T1009" s="7" t="s">
        <v>59</v>
      </c>
      <c r="AG1009" s="9">
        <v>40657.0</v>
      </c>
      <c r="AH1009" s="9">
        <v>40657.0</v>
      </c>
    </row>
    <row r="1010">
      <c r="A1010" s="6" t="str">
        <f>HYPERLINK("https://archive.ph/o/kCXAs/https://web-beta.archive.org/web/20130315140312/http://clopfic.heroku.com/fics/353", "Where a Mind Wanders")</f>
        <v>Where a Mind Wanders</v>
      </c>
      <c r="E1010" s="7" t="s">
        <v>44</v>
      </c>
      <c r="H1010" s="8" t="s">
        <v>1043</v>
      </c>
      <c r="I1010" s="6" t="str">
        <f>HYPERLINK("https://archive.ph/o/kCXAs/https://web-beta.archive.org/web/20130315140312/http://clopfic.heroku.com/authors/112", "VelvetHeart")</f>
        <v>VelvetHeart</v>
      </c>
      <c r="J1010" s="7" t="s">
        <v>39</v>
      </c>
      <c r="P1010" s="7" t="s">
        <v>64</v>
      </c>
      <c r="AG1010" s="9">
        <v>40656.0</v>
      </c>
      <c r="AH1010" s="9">
        <v>40656.0</v>
      </c>
    </row>
    <row r="1011">
      <c r="A1011" s="6" t="str">
        <f>HYPERLINK("https://archive.ph/o/kCXAs/https://web-beta.archive.org/web/20130315140312/http://clopfic.heroku.com/fics/354", "Cutie Mark Crusader Film Critics")</f>
        <v>Cutie Mark Crusader Film Critics</v>
      </c>
      <c r="H1011" s="8" t="s">
        <v>1044</v>
      </c>
      <c r="I1011" s="6" t="str">
        <f>HYPERLINK("https://archive.ph/o/kCXAs/https://web-beta.archive.org/web/20130315140312/http://clopfic.heroku.com/authors/85", "Thunderdome")</f>
        <v>Thunderdome</v>
      </c>
      <c r="S1011" s="7" t="s">
        <v>68</v>
      </c>
      <c r="T1011" s="7" t="s">
        <v>59</v>
      </c>
      <c r="U1011" s="7" t="s">
        <v>60</v>
      </c>
      <c r="AG1011" s="9">
        <v>40654.0</v>
      </c>
      <c r="AH1011" s="9">
        <v>40654.0</v>
      </c>
    </row>
    <row r="1012">
      <c r="A1012" s="6" t="str">
        <f>HYPERLINK("https://archive.ph/o/kCXAs/https://web-beta.archive.org/web/20130315140312/http://clopfic.heroku.com/fics/355", "Evil Enchantress, An")</f>
        <v>Evil Enchantress, An</v>
      </c>
      <c r="C1012" s="7" t="s">
        <v>54</v>
      </c>
      <c r="H1012" s="8" t="s">
        <v>1045</v>
      </c>
      <c r="I1012" s="6" t="str">
        <f>HYPERLINK("https://archive.ph/o/kCXAs/https://web-beta.archive.org/web/20130315140312/http://clopfic.heroku.com/authors/1", "RagingSemi")</f>
        <v>RagingSemi</v>
      </c>
      <c r="V1012" s="7" t="s">
        <v>71</v>
      </c>
      <c r="X1012" s="7" t="s">
        <v>107</v>
      </c>
      <c r="AG1012" s="9">
        <v>40653.0</v>
      </c>
      <c r="AH1012" s="9">
        <v>40653.0</v>
      </c>
    </row>
    <row r="1013">
      <c r="A1013" s="6" t="str">
        <f>HYPERLINK("https://archive.ph/o/kCXAs/https://web-beta.archive.org/web/20130315140312/http://clopfic.heroku.com/fics/358", "Big Mac Isn't Picky")</f>
        <v>Big Mac Isn't Picky</v>
      </c>
      <c r="D1013" s="7" t="s">
        <v>37</v>
      </c>
      <c r="H1013" s="8" t="s">
        <v>1046</v>
      </c>
      <c r="I1013" s="6" t="str">
        <f>HYPERLINK("https://archive.ph/o/kCXAs/https://web-beta.archive.org/web/20130315140312/http://clopfic.heroku.com/authors/113", "EbonMane")</f>
        <v>EbonMane</v>
      </c>
      <c r="V1013" s="7" t="s">
        <v>71</v>
      </c>
      <c r="Z1013" s="7" t="s">
        <v>40</v>
      </c>
      <c r="AE1013" s="7" t="s">
        <v>43</v>
      </c>
      <c r="AG1013" s="9">
        <v>40651.0</v>
      </c>
      <c r="AH1013" s="9">
        <v>40651.0</v>
      </c>
    </row>
    <row r="1014">
      <c r="A1014" s="6" t="str">
        <f>HYPERLINK("https://archive.ph/o/kCXAs/https://web-beta.archive.org/web/20130315140312/http://clopfic.heroku.com/fics/356", "Chomping on the Bit")</f>
        <v>Chomping on the Bit</v>
      </c>
      <c r="H1014" s="8" t="s">
        <v>1047</v>
      </c>
      <c r="I1014" s="6" t="str">
        <f t="shared" ref="I1014:I1017" si="48">HYPERLINK("https://archive.ph/o/kCXAs/https://web-beta.archive.org/web/20130315140312/http://clopfic.heroku.com/authors/1", "RagingSemi")</f>
        <v>RagingSemi</v>
      </c>
      <c r="J1014" s="7" t="s">
        <v>39</v>
      </c>
      <c r="R1014" s="7" t="s">
        <v>66</v>
      </c>
      <c r="AG1014" s="9">
        <v>40651.0</v>
      </c>
      <c r="AH1014" s="9">
        <v>40651.0</v>
      </c>
    </row>
    <row r="1015">
      <c r="A1015" s="6" t="str">
        <f>HYPERLINK("https://archive.ph/o/kCXAs/https://web-beta.archive.org/web/20130315140312/http://clopfic.heroku.com/fics/357", "Luna's Sad Party {LSP1}")</f>
        <v>Luna's Sad Party {LSP1}</v>
      </c>
      <c r="E1015" s="7" t="s">
        <v>44</v>
      </c>
      <c r="H1015" s="8" t="s">
        <v>1048</v>
      </c>
      <c r="I1015" s="6" t="str">
        <f t="shared" si="48"/>
        <v>RagingSemi</v>
      </c>
      <c r="Q1015" s="7" t="s">
        <v>65</v>
      </c>
      <c r="V1015" s="7" t="s">
        <v>71</v>
      </c>
      <c r="AG1015" s="9">
        <v>40651.0</v>
      </c>
      <c r="AH1015" s="9">
        <v>40651.0</v>
      </c>
    </row>
    <row r="1016">
      <c r="A1016" s="6" t="str">
        <f>HYPERLINK("https://archive.ph/o/kCXAs/https://web-beta.archive.org/web/20130315140312/http://clopfic.heroku.com/fics/360", "She's Got a Secret Garden (Over a Barrel pt. 1)")</f>
        <v>She's Got a Secret Garden (Over a Barrel pt. 1)</v>
      </c>
      <c r="E1016" s="7" t="s">
        <v>44</v>
      </c>
      <c r="H1016" s="8" t="s">
        <v>1049</v>
      </c>
      <c r="I1016" s="6" t="str">
        <f t="shared" si="48"/>
        <v>RagingSemi</v>
      </c>
      <c r="Z1016" s="7" t="s">
        <v>40</v>
      </c>
      <c r="AE1016" s="7" t="s">
        <v>43</v>
      </c>
      <c r="AG1016" s="9">
        <v>40648.0</v>
      </c>
      <c r="AH1016" s="9">
        <v>40648.0</v>
      </c>
    </row>
    <row r="1017">
      <c r="A1017" s="6" t="str">
        <f>HYPERLINK("https://archive.ph/o/kCXAs/https://web-beta.archive.org/web/20130315140312/http://clopfic.heroku.com/fics/359", "Scootatrap")</f>
        <v>Scootatrap</v>
      </c>
      <c r="B1017" s="7" t="s">
        <v>36</v>
      </c>
      <c r="D1017" s="7" t="s">
        <v>37</v>
      </c>
      <c r="H1017" s="8" t="s">
        <v>1050</v>
      </c>
      <c r="I1017" s="6" t="str">
        <f t="shared" si="48"/>
        <v>RagingSemi</v>
      </c>
      <c r="M1017" s="7" t="s">
        <v>56</v>
      </c>
      <c r="T1017" s="7" t="s">
        <v>59</v>
      </c>
      <c r="AG1017" s="9">
        <v>40648.0</v>
      </c>
      <c r="AH1017" s="9">
        <v>40648.0</v>
      </c>
    </row>
    <row r="1018">
      <c r="A1018" s="6" t="str">
        <f>HYPERLINK("https://archive.ph/o/kCXAs/https://web-beta.archive.org/web/20130315140312/http://clopfic.heroku.com/fics/361", "Mane Event: Trixe x Twilight")</f>
        <v>Mane Event: Trixe x Twilight</v>
      </c>
      <c r="H1018" s="8" t="s">
        <v>1051</v>
      </c>
      <c r="I1018" s="6" t="str">
        <f>HYPERLINK("https://archive.ph/o/kCXAs/https://web-beta.archive.org/web/20130315140312/http://clopfic.heroku.com/authors/114", "Albatross")</f>
        <v>Albatross</v>
      </c>
      <c r="J1018" s="7" t="s">
        <v>39</v>
      </c>
      <c r="W1018" s="7" t="s">
        <v>69</v>
      </c>
      <c r="AG1018" s="9">
        <v>40645.0</v>
      </c>
      <c r="AH1018" s="9">
        <v>40645.0</v>
      </c>
    </row>
    <row r="1019">
      <c r="A1019" s="6" t="str">
        <f>HYPERLINK("https://archive.ph/o/kCXAs/https://web-beta.archive.org/web/20130315140312/http://clopfic.heroku.com/fics/362", "Snips, Snails, Sugar &amp; Spice")</f>
        <v>Snips, Snails, Sugar &amp; Spice</v>
      </c>
      <c r="C1019" s="7" t="s">
        <v>54</v>
      </c>
      <c r="E1019" s="7" t="s">
        <v>44</v>
      </c>
      <c r="H1019" s="3"/>
      <c r="I1019" s="6" t="str">
        <f>HYPERLINK("https://archive.ph/o/kCXAs/https://web-beta.archive.org/web/20130315140312/http://clopfic.heroku.com/authors/1", "RagingSemi")</f>
        <v>RagingSemi</v>
      </c>
      <c r="Z1019" s="7" t="s">
        <v>40</v>
      </c>
      <c r="AE1019" s="7" t="s">
        <v>43</v>
      </c>
      <c r="AG1019" s="9">
        <v>40645.0</v>
      </c>
      <c r="AH1019" s="9">
        <v>40645.0</v>
      </c>
    </row>
    <row r="1020">
      <c r="A1020" s="6" t="str">
        <f>HYPERLINK("https://archive.ph/o/kCXAs/https://web-beta.archive.org/web/20130315140312/http://clopfic.heroku.com/fics/364", "Trollestia Strikes Again")</f>
        <v>Trollestia Strikes Again</v>
      </c>
      <c r="G1020" s="7" t="s">
        <v>75</v>
      </c>
      <c r="H1020" s="8" t="s">
        <v>1052</v>
      </c>
      <c r="I1020" s="6" t="str">
        <f>HYPERLINK("https://archive.ph/o/kCXAs/https://web-beta.archive.org/web/20130315140312/http://clopfic.heroku.com/authors/116", "Don-KomandoRR")</f>
        <v>Don-KomandoRR</v>
      </c>
      <c r="P1020" s="7" t="s">
        <v>64</v>
      </c>
      <c r="Q1020" s="7" t="s">
        <v>65</v>
      </c>
      <c r="V1020" s="7" t="s">
        <v>71</v>
      </c>
      <c r="AG1020" s="9">
        <v>40643.0</v>
      </c>
      <c r="AH1020" s="9">
        <v>40643.0</v>
      </c>
    </row>
    <row r="1021">
      <c r="A1021" s="6" t="str">
        <f>HYPERLINK("https://archive.ph/o/kCXAs/https://web-beta.archive.org/web/20130315140312/http://clopfic.heroku.com/fics/363", "Morning After, The")</f>
        <v>Morning After, The</v>
      </c>
      <c r="D1021" s="7" t="s">
        <v>37</v>
      </c>
      <c r="E1021" s="7" t="s">
        <v>44</v>
      </c>
      <c r="H1021" s="3"/>
      <c r="I1021" s="6" t="str">
        <f>HYPERLINK("https://archive.ph/o/kCXAs/https://web-beta.archive.org/web/20130315140312/http://clopfic.heroku.com/authors/115", "Midnight Shadow")</f>
        <v>Midnight Shadow</v>
      </c>
      <c r="J1021" s="7" t="s">
        <v>39</v>
      </c>
      <c r="M1021" s="7" t="s">
        <v>56</v>
      </c>
      <c r="P1021" s="7" t="s">
        <v>64</v>
      </c>
      <c r="Q1021" s="7" t="s">
        <v>65</v>
      </c>
      <c r="Z1021" s="7" t="s">
        <v>40</v>
      </c>
      <c r="AE1021" s="7" t="s">
        <v>43</v>
      </c>
      <c r="AG1021" s="9">
        <v>40643.0</v>
      </c>
      <c r="AH1021" s="9">
        <v>40643.0</v>
      </c>
    </row>
    <row r="1022">
      <c r="A1022" s="6" t="str">
        <f>HYPERLINK("https://archive.ph/o/kCXAs/https://web-beta.archive.org/web/20130315140312/http://clopfic.heroku.com/fics/366", "Appleoosa's Coming Up in the World,Over a Barrel 3")</f>
        <v>Appleoosa's Coming Up in the World,Over a Barrel 3</v>
      </c>
      <c r="H1022" s="8" t="s">
        <v>1053</v>
      </c>
      <c r="I1022" s="6" t="str">
        <f>HYPERLINK("https://archive.ph/o/kCXAs/https://web-beta.archive.org/web/20130315140312/http://clopfic.heroku.com/authors/1", "RagingSemi")</f>
        <v>RagingSemi</v>
      </c>
      <c r="L1022" s="7" t="s">
        <v>62</v>
      </c>
      <c r="Z1022" s="7" t="s">
        <v>40</v>
      </c>
      <c r="AE1022" s="7" t="s">
        <v>43</v>
      </c>
      <c r="AG1022" s="9">
        <v>40642.0</v>
      </c>
      <c r="AH1022" s="9">
        <v>40642.0</v>
      </c>
    </row>
    <row r="1023">
      <c r="A1023" s="6" t="str">
        <f>HYPERLINK("https://archive.ph/o/kCXAs/https://web-beta.archive.org/web/20130315140312/http://clopfic.heroku.com/fics/365", "With a little Dash of Rainbow")</f>
        <v>With a little Dash of Rainbow</v>
      </c>
      <c r="H1023" s="8" t="s">
        <v>1054</v>
      </c>
      <c r="I1023" s="6" t="str">
        <f>HYPERLINK("https://archive.ph/o/kCXAs/https://web-beta.archive.org/web/20130315140312/http://clopfic.heroku.com/authors/117", "Satch")</f>
        <v>Satch</v>
      </c>
      <c r="M1023" s="7" t="s">
        <v>56</v>
      </c>
      <c r="O1023" s="7" t="s">
        <v>51</v>
      </c>
      <c r="AG1023" s="9">
        <v>40642.0</v>
      </c>
      <c r="AH1023" s="9">
        <v>40642.0</v>
      </c>
    </row>
    <row r="1024">
      <c r="A1024" s="6" t="str">
        <f>HYPERLINK("https://archive.ph/o/kCXAs/https://web-beta.archive.org/web/20130315140312/http://clopfic.heroku.com/fics/367", "Twilight's Big Surprise")</f>
        <v>Twilight's Big Surprise</v>
      </c>
      <c r="C1024" s="7" t="s">
        <v>54</v>
      </c>
      <c r="D1024" s="7" t="s">
        <v>37</v>
      </c>
      <c r="H1024" s="8" t="s">
        <v>1040</v>
      </c>
      <c r="I1024" s="6" t="str">
        <f>HYPERLINK("https://archive.ph/o/kCXAs/https://web-beta.archive.org/web/20130315140312/http://clopfic.heroku.com/authors/1", "RagingSemi")</f>
        <v>RagingSemi</v>
      </c>
      <c r="J1024" s="7" t="s">
        <v>39</v>
      </c>
      <c r="P1024" s="7" t="s">
        <v>64</v>
      </c>
      <c r="Q1024" s="7" t="s">
        <v>65</v>
      </c>
      <c r="AG1024" s="9">
        <v>40641.0</v>
      </c>
      <c r="AH1024" s="9">
        <v>40641.0</v>
      </c>
    </row>
    <row r="1025">
      <c r="A1025" s="6" t="str">
        <f>HYPERLINK("https://archive.ph/o/kCXAs/https://web-beta.archive.org/web/20130315140312/http://clopfic.heroku.com/fics/368", "Fun Trick, A")</f>
        <v>Fun Trick, A</v>
      </c>
      <c r="D1025" s="7" t="s">
        <v>37</v>
      </c>
      <c r="H1025" s="8" t="s">
        <v>1055</v>
      </c>
      <c r="I1025" s="6" t="str">
        <f>HYPERLINK("https://archive.ph/o/kCXAs/https://web-beta.archive.org/web/20130315140312/http://clopfic.heroku.com/authors/107", "Syoee_b")</f>
        <v>Syoee_b</v>
      </c>
      <c r="J1025" s="7" t="s">
        <v>39</v>
      </c>
      <c r="M1025" s="7" t="s">
        <v>56</v>
      </c>
      <c r="AG1025" s="9">
        <v>40640.0</v>
      </c>
      <c r="AH1025" s="9">
        <v>40640.0</v>
      </c>
    </row>
    <row r="1026">
      <c r="A1026" s="6" t="str">
        <f>HYPERLINK("https://archive.ph/o/kCXAs/https://web-beta.archive.org/web/20130315140312/http://clopfic.heroku.com/fics/369", "Trixie's Revenge")</f>
        <v>Trixie's Revenge</v>
      </c>
      <c r="B1026" s="7" t="s">
        <v>36</v>
      </c>
      <c r="D1026" s="7" t="s">
        <v>37</v>
      </c>
      <c r="H1026" s="8" t="s">
        <v>1056</v>
      </c>
      <c r="I1026" s="6" t="str">
        <f>HYPERLINK("https://archive.ph/o/kCXAs/https://web-beta.archive.org/web/20130315140312/http://clopfic.heroku.com/authors/68", "DarkJester")</f>
        <v>DarkJester</v>
      </c>
      <c r="J1026" s="7" t="s">
        <v>39</v>
      </c>
      <c r="W1026" s="7" t="s">
        <v>69</v>
      </c>
      <c r="AG1026" s="9">
        <v>40640.0</v>
      </c>
      <c r="AH1026" s="9">
        <v>40640.0</v>
      </c>
    </row>
    <row r="1027">
      <c r="A1027" s="6" t="str">
        <f>HYPERLINK("https://archive.ph/o/kCXAs/https://web-beta.archive.org/web/20130315140312/http://clopfic.heroku.com/fics/370", "Moon Over Luna")</f>
        <v>Moon Over Luna</v>
      </c>
      <c r="C1027" s="7" t="s">
        <v>54</v>
      </c>
      <c r="H1027" s="8" t="s">
        <v>1057</v>
      </c>
      <c r="I1027" s="6" t="str">
        <f>HYPERLINK("https://archive.ph/o/kCXAs/https://web-beta.archive.org/web/20130315140312/http://clopfic.heroku.com/authors/1", "RagingSemi")</f>
        <v>RagingSemi</v>
      </c>
      <c r="P1027" s="7" t="s">
        <v>64</v>
      </c>
      <c r="Q1027" s="7" t="s">
        <v>65</v>
      </c>
      <c r="AG1027" s="9">
        <v>40639.0</v>
      </c>
      <c r="AH1027" s="9">
        <v>40639.0</v>
      </c>
    </row>
    <row r="1028">
      <c r="A1028" s="6" t="str">
        <f>HYPERLINK("https://archive.ph/o/kCXAs/https://web-beta.archive.org/web/20130315140312/http://clopfic.heroku.com/fics/373", "untitled Fluttershy 2nd person [2]")</f>
        <v>untitled Fluttershy 2nd person [2]</v>
      </c>
      <c r="G1028" s="7" t="s">
        <v>75</v>
      </c>
      <c r="H1028" s="8" t="s">
        <v>1058</v>
      </c>
      <c r="I1028" s="6" t="str">
        <f>HYPERLINK("https://archive.ph/o/kCXAs/https://web-beta.archive.org/web/20130315140312/http://clopfic.heroku.com/authors/119", "Cray0n")</f>
        <v>Cray0n</v>
      </c>
      <c r="O1028" s="7" t="s">
        <v>51</v>
      </c>
      <c r="AG1028" s="9">
        <v>40638.0</v>
      </c>
      <c r="AH1028" s="9">
        <v>40638.0</v>
      </c>
    </row>
    <row r="1029">
      <c r="A1029" s="6" t="str">
        <f>HYPERLINK("https://archive.ph/o/kCXAs/https://web-beta.archive.org/web/20130315140312/http://clopfic.heroku.com/fics/372", "untitled Fluttershy 2nd person [1]")</f>
        <v>untitled Fluttershy 2nd person [1]</v>
      </c>
      <c r="G1029" s="7" t="s">
        <v>75</v>
      </c>
      <c r="H1029" s="8" t="s">
        <v>1059</v>
      </c>
      <c r="I1029" s="6" t="str">
        <f>HYPERLINK("https://archive.ph/o/kCXAs/https://web-beta.archive.org/web/20130315140312/http://clopfic.heroku.com/authors/118", "Mogu")</f>
        <v>Mogu</v>
      </c>
      <c r="O1029" s="7" t="s">
        <v>51</v>
      </c>
      <c r="AG1029" s="9">
        <v>40638.0</v>
      </c>
      <c r="AH1029" s="9">
        <v>40638.0</v>
      </c>
    </row>
    <row r="1030">
      <c r="A1030" s="6" t="str">
        <f>HYPERLINK("https://archive.ph/o/kCXAs/https://web-beta.archive.org/web/20130315140312/http://clopfic.heroku.com/fics/371", "CakePie")</f>
        <v>CakePie</v>
      </c>
      <c r="H1030" s="8" t="s">
        <v>1060</v>
      </c>
      <c r="I1030" s="6" t="str">
        <f t="shared" ref="I1030:I1031" si="49">HYPERLINK("https://archive.ph/o/kCXAs/https://web-beta.archive.org/web/20130315140312/http://clopfic.heroku.com/authors/1", "RagingSemi")</f>
        <v>RagingSemi</v>
      </c>
      <c r="K1030" s="7" t="s">
        <v>49</v>
      </c>
      <c r="Z1030" s="7" t="s">
        <v>40</v>
      </c>
      <c r="AE1030" s="7" t="s">
        <v>43</v>
      </c>
      <c r="AG1030" s="9">
        <v>40638.0</v>
      </c>
      <c r="AH1030" s="9">
        <v>40638.0</v>
      </c>
    </row>
    <row r="1031">
      <c r="A1031" s="6" t="str">
        <f>HYPERLINK("https://archive.ph/o/kCXAs/https://web-beta.archive.org/web/20130315140312/http://clopfic.heroku.com/fics/375", "Late Night Joke")</f>
        <v>Late Night Joke</v>
      </c>
      <c r="H1031" s="8" t="s">
        <v>1061</v>
      </c>
      <c r="I1031" s="6" t="str">
        <f t="shared" si="49"/>
        <v>RagingSemi</v>
      </c>
      <c r="K1031" s="7" t="s">
        <v>49</v>
      </c>
      <c r="X1031" s="7" t="s">
        <v>107</v>
      </c>
      <c r="AG1031" s="9">
        <v>40636.0</v>
      </c>
      <c r="AH1031" s="9">
        <v>40636.0</v>
      </c>
    </row>
    <row r="1032">
      <c r="A1032" s="6" t="str">
        <f>HYPERLINK("https://archive.ph/o/kCXAs/https://web-beta.archive.org/web/20130315140312/http://clopfic.heroku.com/fics/376", "Trapping the Quarterback")</f>
        <v>Trapping the Quarterback</v>
      </c>
      <c r="D1032" s="7" t="s">
        <v>37</v>
      </c>
      <c r="E1032" s="7" t="s">
        <v>44</v>
      </c>
      <c r="H1032" s="8" t="s">
        <v>1062</v>
      </c>
      <c r="I1032" s="6" t="str">
        <f>HYPERLINK("https://archive.ph/o/kCXAs/https://web-beta.archive.org/web/20130315140312/http://clopfic.heroku.com/authors/83", "Roy G. Biv")</f>
        <v>Roy G. Biv</v>
      </c>
      <c r="Z1032" s="7" t="s">
        <v>40</v>
      </c>
      <c r="AE1032" s="7" t="s">
        <v>43</v>
      </c>
      <c r="AG1032" s="9">
        <v>40636.0</v>
      </c>
      <c r="AH1032" s="9">
        <v>40636.0</v>
      </c>
    </row>
    <row r="1033">
      <c r="A1033" s="6" t="str">
        <f>HYPERLINK("https://archive.ph/o/kCXAs/https://web-beta.archive.org/web/20130315140312/http://clopfic.heroku.com/fics/377", "Four Gifts (Over a Barrel pt. 2)")</f>
        <v>Four Gifts (Over a Barrel pt. 2)</v>
      </c>
      <c r="H1033" s="8" t="s">
        <v>1063</v>
      </c>
      <c r="I1033" s="6" t="str">
        <f>HYPERLINK("https://archive.ph/o/kCXAs/https://web-beta.archive.org/web/20130315140312/http://clopfic.heroku.com/authors/1", "RagingSemi")</f>
        <v>RagingSemi</v>
      </c>
      <c r="R1033" s="7" t="s">
        <v>66</v>
      </c>
      <c r="Z1033" s="7" t="s">
        <v>40</v>
      </c>
      <c r="AE1033" s="7" t="s">
        <v>43</v>
      </c>
      <c r="AG1033" s="9">
        <v>40634.0</v>
      </c>
      <c r="AH1033" s="9">
        <v>40634.0</v>
      </c>
    </row>
    <row r="1034">
      <c r="A1034" s="6" t="str">
        <f>HYPERLINK("https://archive.ph/o/kCXAs/https://web-beta.archive.org/web/20130315140312/http://clopfic.heroku.com/fics/378", "Jungle Love")</f>
        <v>Jungle Love</v>
      </c>
      <c r="C1034" s="7" t="s">
        <v>54</v>
      </c>
      <c r="G1034" s="7" t="s">
        <v>75</v>
      </c>
      <c r="H1034" s="8" t="s">
        <v>1018</v>
      </c>
      <c r="I1034" s="6" t="str">
        <f t="shared" ref="I1034:I1036" si="50">HYPERLINK("https://archive.ph/o/kCXAs/https://web-beta.archive.org/web/20130315140312/http://clopfic.heroku.com/authors/95", "MetalHooves")</f>
        <v>MetalHooves</v>
      </c>
      <c r="X1034" s="7" t="s">
        <v>107</v>
      </c>
      <c r="Z1034" s="7" t="s">
        <v>40</v>
      </c>
      <c r="AF1034" s="7" t="s">
        <v>41</v>
      </c>
      <c r="AG1034" s="9">
        <v>40634.0</v>
      </c>
      <c r="AH1034" s="9">
        <v>40634.0</v>
      </c>
    </row>
    <row r="1035">
      <c r="A1035" s="6" t="str">
        <f>HYPERLINK("https://archive.ph/o/kCXAs/https://web-beta.archive.org/web/20130315140312/http://clopfic.heroku.com/fics/380", "Mayorial Duties")</f>
        <v>Mayorial Duties</v>
      </c>
      <c r="C1035" s="7" t="s">
        <v>54</v>
      </c>
      <c r="G1035" s="7" t="s">
        <v>75</v>
      </c>
      <c r="H1035" s="8" t="s">
        <v>1018</v>
      </c>
      <c r="I1035" s="6" t="str">
        <f t="shared" si="50"/>
        <v>MetalHooves</v>
      </c>
      <c r="Z1035" s="7" t="s">
        <v>40</v>
      </c>
      <c r="AF1035" s="7" t="s">
        <v>41</v>
      </c>
      <c r="AG1035" s="9">
        <v>40634.0</v>
      </c>
      <c r="AH1035" s="9">
        <v>40634.0</v>
      </c>
    </row>
    <row r="1036">
      <c r="A1036" s="6" t="str">
        <f>HYPERLINK("https://archive.ph/o/kCXAs/https://web-beta.archive.org/web/20130315140312/http://clopfic.heroku.com/fics/379", "Love and Muffins")</f>
        <v>Love and Muffins</v>
      </c>
      <c r="C1036" s="7" t="s">
        <v>54</v>
      </c>
      <c r="G1036" s="7" t="s">
        <v>75</v>
      </c>
      <c r="H1036" s="8" t="s">
        <v>1018</v>
      </c>
      <c r="I1036" s="6" t="str">
        <f t="shared" si="50"/>
        <v>MetalHooves</v>
      </c>
      <c r="Z1036" s="7" t="s">
        <v>40</v>
      </c>
      <c r="AA1036" s="7" t="s">
        <v>113</v>
      </c>
      <c r="AE1036" s="7" t="s">
        <v>43</v>
      </c>
      <c r="AF1036" s="7" t="s">
        <v>41</v>
      </c>
      <c r="AG1036" s="9">
        <v>40634.0</v>
      </c>
      <c r="AH1036" s="9">
        <v>40634.0</v>
      </c>
    </row>
    <row r="1037">
      <c r="A1037" s="6" t="str">
        <f>HYPERLINK("https://archive.ph/o/kCXAs/https://web-beta.archive.org/web/20130315140312/http://clopfic.heroku.com/fics/381", "Celestia's Iron Fist")</f>
        <v>Celestia's Iron Fist</v>
      </c>
      <c r="C1037" s="7" t="s">
        <v>54</v>
      </c>
      <c r="H1037" s="8" t="s">
        <v>1064</v>
      </c>
      <c r="I1037" s="6" t="str">
        <f>HYPERLINK("https://archive.ph/o/kCXAs/https://web-beta.archive.org/web/20130315140312/http://clopfic.heroku.com/authors/1", "RagingSemi")</f>
        <v>RagingSemi</v>
      </c>
      <c r="M1037" s="7" t="s">
        <v>56</v>
      </c>
      <c r="P1037" s="7" t="s">
        <v>64</v>
      </c>
      <c r="Q1037" s="7" t="s">
        <v>65</v>
      </c>
      <c r="AG1037" s="9">
        <v>40633.0</v>
      </c>
      <c r="AH1037" s="9">
        <v>40633.0</v>
      </c>
    </row>
    <row r="1038">
      <c r="A1038" s="6" t="str">
        <f>HYPERLINK("https://archive.ph/o/kCXAs/https://web-beta.archive.org/web/20130315140312/http://clopfic.heroku.com/fics/382", "Human Pinkiedash")</f>
        <v>Human Pinkiedash</v>
      </c>
      <c r="C1038" s="7" t="s">
        <v>54</v>
      </c>
      <c r="H1038" s="8" t="s">
        <v>1065</v>
      </c>
      <c r="I1038" s="6" t="str">
        <f>HYPERLINK("https://archive.ph/o/kCXAs/https://web-beta.archive.org/web/20130315140312/http://clopfic.heroku.com/authors/1615", "Irish Rose")</f>
        <v>Irish Rose</v>
      </c>
      <c r="K1038" s="7" t="s">
        <v>49</v>
      </c>
      <c r="M1038" s="7" t="s">
        <v>56</v>
      </c>
      <c r="AG1038" s="9">
        <v>40633.0</v>
      </c>
      <c r="AH1038" s="9">
        <v>40633.0</v>
      </c>
    </row>
    <row r="1039">
      <c r="A1039" s="6" t="str">
        <f>HYPERLINK("https://archive.ph/o/kCXAs/https://web-beta.archive.org/web/20130315140312/http://clopfic.heroku.com/fics/383", "Apple Family Tradition")</f>
        <v>Apple Family Tradition</v>
      </c>
      <c r="D1039" s="7" t="s">
        <v>37</v>
      </c>
      <c r="H1039" s="8" t="s">
        <v>1066</v>
      </c>
      <c r="I1039" s="6" t="str">
        <f t="shared" ref="I1039:I1040" si="51">HYPERLINK("https://archive.ph/o/kCXAs/https://web-beta.archive.org/web/20130315140312/http://clopfic.heroku.com/authors/1", "RagingSemi")</f>
        <v>RagingSemi</v>
      </c>
      <c r="L1039" s="7" t="s">
        <v>62</v>
      </c>
      <c r="S1039" s="7" t="s">
        <v>68</v>
      </c>
      <c r="V1039" s="7" t="s">
        <v>71</v>
      </c>
      <c r="AG1039" s="9">
        <v>40631.0</v>
      </c>
      <c r="AH1039" s="9">
        <v>40631.0</v>
      </c>
    </row>
    <row r="1040">
      <c r="A1040" s="6" t="str">
        <f>HYPERLINK("https://archive.ph/o/kCXAs/https://web-beta.archive.org/web/20130315140312/http://clopfic.heroku.com/fics/385", "Dash of the Titans")</f>
        <v>Dash of the Titans</v>
      </c>
      <c r="H1040" s="3"/>
      <c r="I1040" s="6" t="str">
        <f t="shared" si="51"/>
        <v>RagingSemi</v>
      </c>
      <c r="M1040" s="7" t="s">
        <v>56</v>
      </c>
      <c r="V1040" s="7" t="s">
        <v>71</v>
      </c>
      <c r="Y1040" s="7" t="s">
        <v>184</v>
      </c>
      <c r="AG1040" s="9">
        <v>40630.0</v>
      </c>
      <c r="AH1040" s="9">
        <v>40630.0</v>
      </c>
    </row>
    <row r="1041">
      <c r="A1041" s="6" t="str">
        <f>HYPERLINK("https://archive.ph/o/kCXAs/https://web-beta.archive.org/web/20130315140312/http://clopfic.heroku.com/fics/384", "Rocky Road")</f>
        <v>Rocky Road</v>
      </c>
      <c r="B1041" s="7" t="s">
        <v>36</v>
      </c>
      <c r="E1041" s="7" t="s">
        <v>44</v>
      </c>
      <c r="H1041" s="8" t="s">
        <v>1067</v>
      </c>
      <c r="I1041" s="6" t="str">
        <f>HYPERLINK("https://archive.ph/o/kCXAs/https://web-beta.archive.org/web/20130315140312/http://clopfic.heroku.com/authors/115", "Midnight Shadow")</f>
        <v>Midnight Shadow</v>
      </c>
      <c r="L1041" s="7" t="s">
        <v>62</v>
      </c>
      <c r="V1041" s="7" t="s">
        <v>71</v>
      </c>
      <c r="Z1041" s="7" t="s">
        <v>40</v>
      </c>
      <c r="AE1041" s="7" t="s">
        <v>43</v>
      </c>
      <c r="AF1041" s="7" t="s">
        <v>41</v>
      </c>
      <c r="AG1041" s="9">
        <v>40630.0</v>
      </c>
      <c r="AH1041" s="9">
        <v>40630.0</v>
      </c>
    </row>
    <row r="1042">
      <c r="A1042" s="6" t="str">
        <f>HYPERLINK("https://archive.ph/o/kCXAs/https://web-beta.archive.org/web/20130315140312/http://clopfic.heroku.com/fics/388", "White Tail Picnic")</f>
        <v>White Tail Picnic</v>
      </c>
      <c r="H1042" s="8" t="s">
        <v>1068</v>
      </c>
      <c r="I1042" s="6" t="str">
        <f>HYPERLINK("https://archive.ph/o/kCXAs/https://web-beta.archive.org/web/20130315140312/http://clopfic.heroku.com/authors/1", "RagingSemi")</f>
        <v>RagingSemi</v>
      </c>
      <c r="J1042" s="7" t="s">
        <v>39</v>
      </c>
      <c r="O1042" s="7" t="s">
        <v>51</v>
      </c>
      <c r="AG1042" s="9">
        <v>40629.0</v>
      </c>
      <c r="AH1042" s="9">
        <v>40629.0</v>
      </c>
    </row>
    <row r="1043">
      <c r="A1043" s="6" t="str">
        <f>HYPERLINK("https://archive.ph/o/kCXAs/https://web-beta.archive.org/web/20130315140312/http://clopfic.heroku.com/fics/386", "Carrots")</f>
        <v>Carrots</v>
      </c>
      <c r="D1043" s="7" t="s">
        <v>37</v>
      </c>
      <c r="H1043" s="8" t="s">
        <v>1069</v>
      </c>
      <c r="I1043" s="6" t="str">
        <f>HYPERLINK("https://archive.ph/o/kCXAs/https://web-beta.archive.org/web/20130315140312/http://clopfic.heroku.com/authors/119", "Cray0n")</f>
        <v>Cray0n</v>
      </c>
      <c r="K1043" s="7" t="s">
        <v>49</v>
      </c>
      <c r="O1043" s="7" t="s">
        <v>51</v>
      </c>
      <c r="AG1043" s="9">
        <v>40629.0</v>
      </c>
      <c r="AH1043" s="9">
        <v>40629.0</v>
      </c>
    </row>
    <row r="1044">
      <c r="A1044" s="6" t="str">
        <f>HYPERLINK("https://archive.ph/o/kCXAs/https://web-beta.archive.org/web/20130315140312/http://clopfic.heroku.com/fics/387", "Dragonslayers")</f>
        <v>Dragonslayers</v>
      </c>
      <c r="H1044" s="8" t="s">
        <v>1070</v>
      </c>
      <c r="I1044" s="6" t="str">
        <f t="shared" ref="I1044:I1051" si="52">HYPERLINK("https://archive.ph/o/kCXAs/https://web-beta.archive.org/web/20130315140312/http://clopfic.heroku.com/authors/1", "RagingSemi")</f>
        <v>RagingSemi</v>
      </c>
      <c r="R1044" s="7" t="s">
        <v>66</v>
      </c>
      <c r="S1044" s="7" t="s">
        <v>68</v>
      </c>
      <c r="T1044" s="7" t="s">
        <v>59</v>
      </c>
      <c r="U1044" s="7" t="s">
        <v>60</v>
      </c>
      <c r="AG1044" s="9">
        <v>40629.0</v>
      </c>
      <c r="AH1044" s="9">
        <v>40629.0</v>
      </c>
    </row>
    <row r="1045">
      <c r="A1045" s="6" t="str">
        <f>HYPERLINK("https://archive.ph/o/kCXAs/https://web-beta.archive.org/web/20130315140312/http://clopfic.heroku.com/fics/389", "Converging Fronts")</f>
        <v>Converging Fronts</v>
      </c>
      <c r="H1045" s="8" t="s">
        <v>1071</v>
      </c>
      <c r="I1045" s="6" t="str">
        <f t="shared" si="52"/>
        <v>RagingSemi</v>
      </c>
      <c r="M1045" s="7" t="s">
        <v>56</v>
      </c>
      <c r="AG1045" s="9">
        <v>40627.0</v>
      </c>
      <c r="AH1045" s="9">
        <v>40627.0</v>
      </c>
    </row>
    <row r="1046">
      <c r="A1046" s="6" t="str">
        <f>HYPERLINK("https://archive.ph/o/kCXAs/https://web-beta.archive.org/web/20130315140312/http://clopfic.heroku.com/fics/390", "In Heat for Teacher")</f>
        <v>In Heat for Teacher</v>
      </c>
      <c r="D1046" s="7" t="s">
        <v>37</v>
      </c>
      <c r="H1046" s="8" t="s">
        <v>1072</v>
      </c>
      <c r="I1046" s="6" t="str">
        <f t="shared" si="52"/>
        <v>RagingSemi</v>
      </c>
      <c r="L1046" s="7" t="s">
        <v>62</v>
      </c>
      <c r="Z1046" s="7" t="s">
        <v>40</v>
      </c>
      <c r="AD1046" s="7" t="s">
        <v>111</v>
      </c>
      <c r="AG1046" s="9">
        <v>40627.0</v>
      </c>
      <c r="AH1046" s="9">
        <v>40627.0</v>
      </c>
    </row>
    <row r="1047">
      <c r="A1047" s="6" t="str">
        <f>HYPERLINK("https://archive.ph/o/kCXAs/https://web-beta.archive.org/web/20130315140312/http://clopfic.heroku.com/fics/391", "Big Mac has the Blues")</f>
        <v>Big Mac has the Blues</v>
      </c>
      <c r="H1047" s="8" t="s">
        <v>1073</v>
      </c>
      <c r="I1047" s="6" t="str">
        <f t="shared" si="52"/>
        <v>RagingSemi</v>
      </c>
      <c r="V1047" s="7" t="s">
        <v>71</v>
      </c>
      <c r="Z1047" s="7" t="s">
        <v>40</v>
      </c>
      <c r="AE1047" s="7" t="s">
        <v>43</v>
      </c>
      <c r="AG1047" s="9">
        <v>40625.0</v>
      </c>
      <c r="AH1047" s="9">
        <v>40625.0</v>
      </c>
    </row>
    <row r="1048">
      <c r="A1048" s="6" t="str">
        <f>HYPERLINK("https://archive.ph/o/kCXAs/https://web-beta.archive.org/web/20130315140312/http://clopfic.heroku.com/fics/394", "Twilight After Dark")</f>
        <v>Twilight After Dark</v>
      </c>
      <c r="H1048" s="8" t="s">
        <v>1074</v>
      </c>
      <c r="I1048" s="6" t="str">
        <f t="shared" si="52"/>
        <v>RagingSemi</v>
      </c>
      <c r="J1048" s="7" t="s">
        <v>39</v>
      </c>
      <c r="W1048" s="7" t="s">
        <v>69</v>
      </c>
      <c r="AG1048" s="9">
        <v>40624.0</v>
      </c>
      <c r="AH1048" s="9">
        <v>40624.0</v>
      </c>
    </row>
    <row r="1049">
      <c r="A1049" s="6" t="str">
        <f>HYPERLINK("https://archive.ph/o/kCXAs/https://web-beta.archive.org/web/20130315140312/http://clopfic.heroku.com/fics/393", "Lessons Learned")</f>
        <v>Lessons Learned</v>
      </c>
      <c r="H1049" s="8" t="s">
        <v>1075</v>
      </c>
      <c r="I1049" s="6" t="str">
        <f t="shared" si="52"/>
        <v>RagingSemi</v>
      </c>
      <c r="N1049" s="7" t="s">
        <v>47</v>
      </c>
      <c r="U1049" s="7" t="s">
        <v>60</v>
      </c>
      <c r="AG1049" s="9">
        <v>40624.0</v>
      </c>
      <c r="AH1049" s="9">
        <v>40624.0</v>
      </c>
    </row>
    <row r="1050">
      <c r="A1050" s="6" t="str">
        <f>HYPERLINK("https://archive.ph/o/kCXAs/https://web-beta.archive.org/web/20130315140312/http://clopfic.heroku.com/fics/392", "Baby Carrot")</f>
        <v>Baby Carrot</v>
      </c>
      <c r="E1050" s="7" t="s">
        <v>44</v>
      </c>
      <c r="H1050" s="8" t="s">
        <v>1076</v>
      </c>
      <c r="I1050" s="6" t="str">
        <f t="shared" si="52"/>
        <v>RagingSemi</v>
      </c>
      <c r="O1050" s="7" t="s">
        <v>51</v>
      </c>
      <c r="Z1050" s="7" t="s">
        <v>40</v>
      </c>
      <c r="AF1050" s="7" t="s">
        <v>41</v>
      </c>
      <c r="AG1050" s="9">
        <v>40624.0</v>
      </c>
      <c r="AH1050" s="9">
        <v>40624.0</v>
      </c>
    </row>
    <row r="1051">
      <c r="A1051" s="6" t="str">
        <f>HYPERLINK("https://archive.ph/o/kCXAs/https://web-beta.archive.org/web/20130315140312/http://clopfic.heroku.com/fics/395", "Luna's Magic Wand")</f>
        <v>Luna's Magic Wand</v>
      </c>
      <c r="C1051" s="7" t="s">
        <v>54</v>
      </c>
      <c r="D1051" s="7" t="s">
        <v>37</v>
      </c>
      <c r="H1051" s="8" t="s">
        <v>1077</v>
      </c>
      <c r="I1051" s="6" t="str">
        <f t="shared" si="52"/>
        <v>RagingSemi</v>
      </c>
      <c r="P1051" s="7" t="s">
        <v>64</v>
      </c>
      <c r="Q1051" s="7" t="s">
        <v>65</v>
      </c>
      <c r="AG1051" s="9">
        <v>40622.0</v>
      </c>
      <c r="AH1051" s="9">
        <v>40622.0</v>
      </c>
    </row>
    <row r="1052">
      <c r="A1052" s="6" t="str">
        <f>HYPERLINK("https://archive.ph/o/kCXAs/https://web-beta.archive.org/web/20130315140312/http://clopfic.heroku.com/fics/396", "Apple Bloom Part 0")</f>
        <v>Apple Bloom Part 0</v>
      </c>
      <c r="F1052" s="7" t="s">
        <v>52</v>
      </c>
      <c r="H1052" s="8" t="s">
        <v>1078</v>
      </c>
      <c r="I1052" s="6" t="str">
        <f>HYPERLINK("https://archive.ph/o/kCXAs/https://web-beta.archive.org/web/20130315140312/http://clopfic.heroku.com/authors/121", "Zero")</f>
        <v>Zero</v>
      </c>
      <c r="L1052" s="7" t="s">
        <v>62</v>
      </c>
      <c r="V1052" s="7" t="s">
        <v>71</v>
      </c>
      <c r="AG1052" s="9">
        <v>40622.0</v>
      </c>
      <c r="AH1052" s="9">
        <v>40622.0</v>
      </c>
    </row>
    <row r="1053">
      <c r="A1053" s="6" t="str">
        <f>HYPERLINK("https://archive.ph/o/kCXAs/https://web-beta.archive.org/web/20130315140312/http://clopfic.heroku.com/fics/397", "Coming Clean")</f>
        <v>Coming Clean</v>
      </c>
      <c r="C1053" s="7" t="s">
        <v>54</v>
      </c>
      <c r="H1053" s="8" t="s">
        <v>1079</v>
      </c>
      <c r="I1053" s="6" t="str">
        <f>HYPERLINK("https://archive.ph/o/kCXAs/https://web-beta.archive.org/web/20130315140312/http://clopfic.heroku.com/authors/108", "Pacce")</f>
        <v>Pacce</v>
      </c>
      <c r="M1053" s="7" t="s">
        <v>56</v>
      </c>
      <c r="Y1053" s="7" t="s">
        <v>184</v>
      </c>
      <c r="AG1053" s="9">
        <v>40621.0</v>
      </c>
      <c r="AH1053" s="9">
        <v>40621.0</v>
      </c>
    </row>
    <row r="1054">
      <c r="A1054" s="6" t="str">
        <f>HYPERLINK("https://archive.ph/o/kCXAs/https://web-beta.archive.org/web/20130315140312/http://clopfic.heroku.com/fics/398", "Pink Velvet Pie")</f>
        <v>Pink Velvet Pie</v>
      </c>
      <c r="H1054" s="3"/>
      <c r="I1054" s="6" t="str">
        <f>HYPERLINK("https://archive.ph/o/kCXAs/https://web-beta.archive.org/web/20130315140312/http://clopfic.heroku.com/authors/1", "RagingSemi")</f>
        <v>RagingSemi</v>
      </c>
      <c r="K1054" s="7" t="s">
        <v>49</v>
      </c>
      <c r="M1054" s="7" t="s">
        <v>56</v>
      </c>
      <c r="AG1054" s="9">
        <v>40620.0</v>
      </c>
      <c r="AH1054" s="9">
        <v>40620.0</v>
      </c>
    </row>
    <row r="1055">
      <c r="A1055" s="6" t="str">
        <f>HYPERLINK("https://archive.ph/o/kCXAs/https://web-beta.archive.org/web/20130315140312/http://clopfic.heroku.com/fics/399", "Apple Bloom (v3)")</f>
        <v>Apple Bloom (v3)</v>
      </c>
      <c r="H1055" s="8" t="s">
        <v>1080</v>
      </c>
      <c r="I1055" s="6" t="str">
        <f>HYPERLINK("https://archive.ph/o/kCXAs/https://web-beta.archive.org/web/20130315140312/http://clopfic.heroku.com/authors/122", "SB")</f>
        <v>SB</v>
      </c>
      <c r="L1055" s="7" t="s">
        <v>62</v>
      </c>
      <c r="S1055" s="7" t="s">
        <v>68</v>
      </c>
      <c r="V1055" s="7" t="s">
        <v>71</v>
      </c>
      <c r="AG1055" s="9">
        <v>40619.0</v>
      </c>
      <c r="AH1055" s="9">
        <v>40619.0</v>
      </c>
    </row>
    <row r="1056">
      <c r="A1056" s="6" t="str">
        <f>HYPERLINK("https://archive.ph/o/kCXAs/https://web-beta.archive.org/web/20130315140312/http://clopfic.heroku.com/fics/400", "Wild Blue Yonder, The")</f>
        <v>Wild Blue Yonder, The</v>
      </c>
      <c r="H1056" s="8" t="s">
        <v>1081</v>
      </c>
      <c r="I1056" s="6" t="str">
        <f t="shared" ref="I1056:I1057" si="53">HYPERLINK("https://archive.ph/o/kCXAs/https://web-beta.archive.org/web/20130315140312/http://clopfic.heroku.com/authors/1", "RagingSemi")</f>
        <v>RagingSemi</v>
      </c>
      <c r="M1056" s="7" t="s">
        <v>56</v>
      </c>
      <c r="Z1056" s="7" t="s">
        <v>40</v>
      </c>
      <c r="AE1056" s="7" t="s">
        <v>43</v>
      </c>
      <c r="AG1056" s="9">
        <v>40617.0</v>
      </c>
      <c r="AH1056" s="9">
        <v>40617.0</v>
      </c>
    </row>
    <row r="1057">
      <c r="A1057" s="6" t="str">
        <f>HYPERLINK("https://archive.ph/o/kCXAs/https://web-beta.archive.org/web/20130315140312/http://clopfic.heroku.com/fics/401", "Come Into Her House")</f>
        <v>Come Into Her House</v>
      </c>
      <c r="G1057" s="7" t="s">
        <v>75</v>
      </c>
      <c r="H1057" s="8" t="s">
        <v>1082</v>
      </c>
      <c r="I1057" s="6" t="str">
        <f t="shared" si="53"/>
        <v>RagingSemi</v>
      </c>
      <c r="Z1057" s="7" t="s">
        <v>40</v>
      </c>
      <c r="AE1057" s="7" t="s">
        <v>43</v>
      </c>
      <c r="AG1057" s="9">
        <v>40616.0</v>
      </c>
      <c r="AH1057" s="9">
        <v>40616.0</v>
      </c>
    </row>
    <row r="1058">
      <c r="A1058" s="6" t="str">
        <f>HYPERLINK("https://archive.ph/o/kCXAs/https://web-beta.archive.org/web/20130315140312/http://clopfic.heroku.com/fics/404", "Dragonbating / Feels Good, Steed")</f>
        <v>Dragonbating / Feels Good, Steed</v>
      </c>
      <c r="H1058" s="8" t="s">
        <v>1083</v>
      </c>
      <c r="I1058" s="6" t="str">
        <f>HYPERLINK("https://archive.ph/o/kCXAs/https://web-beta.archive.org/web/20130315140312/http://clopfic.heroku.com/authors/93", "zz anonymous")</f>
        <v>zz anonymous</v>
      </c>
      <c r="R1058" s="7" t="s">
        <v>66</v>
      </c>
      <c r="AG1058" s="9">
        <v>40615.0</v>
      </c>
      <c r="AH1058" s="9">
        <v>40615.0</v>
      </c>
    </row>
    <row r="1059">
      <c r="A1059" s="6" t="str">
        <f>HYPERLINK("https://archive.ph/o/kCXAs/https://web-beta.archive.org/web/20130315140312/http://clopfic.heroku.com/fics/405", "Story of Big Macintosh, Midnight Cowboy")</f>
        <v>Story of Big Macintosh, Midnight Cowboy</v>
      </c>
      <c r="H1059" s="8" t="s">
        <v>1084</v>
      </c>
      <c r="I1059" s="6" t="str">
        <f>HYPERLINK("https://archive.ph/o/kCXAs/https://web-beta.archive.org/web/20130315140312/http://clopfic.heroku.com/authors/122", "SB")</f>
        <v>SB</v>
      </c>
      <c r="L1059" s="7" t="s">
        <v>62</v>
      </c>
      <c r="N1059" s="7" t="s">
        <v>47</v>
      </c>
      <c r="V1059" s="7" t="s">
        <v>71</v>
      </c>
      <c r="AG1059" s="9">
        <v>40615.0</v>
      </c>
      <c r="AH1059" s="9">
        <v>40615.0</v>
      </c>
    </row>
    <row r="1060">
      <c r="A1060" s="6" t="str">
        <f>HYPERLINK("https://archive.ph/o/kCXAs/https://web-beta.archive.org/web/20130315140312/http://clopfic.heroku.com/fics/403", "Filly on Fire")</f>
        <v>Filly on Fire</v>
      </c>
      <c r="H1060" s="8" t="s">
        <v>1085</v>
      </c>
      <c r="I1060" s="6" t="str">
        <f>HYPERLINK("https://archive.ph/o/kCXAs/https://web-beta.archive.org/web/20130315140312/http://clopfic.heroku.com/authors/124", "Victorian R. Hellsly")</f>
        <v>Victorian R. Hellsly</v>
      </c>
      <c r="P1060" s="7" t="s">
        <v>64</v>
      </c>
      <c r="Z1060" s="7" t="s">
        <v>40</v>
      </c>
      <c r="AD1060" s="7" t="s">
        <v>111</v>
      </c>
      <c r="AG1060" s="9">
        <v>40615.0</v>
      </c>
      <c r="AH1060" s="9">
        <v>40615.0</v>
      </c>
    </row>
    <row r="1061">
      <c r="A1061" s="6" t="str">
        <f>HYPERLINK("https://archive.ph/o/kCXAs/https://web-beta.archive.org/web/20130315140312/http://clopfic.heroku.com/fics/402", "Rarity and the Mule")</f>
        <v>Rarity and the Mule</v>
      </c>
      <c r="G1061" s="7" t="s">
        <v>75</v>
      </c>
      <c r="H1061" s="8" t="s">
        <v>1086</v>
      </c>
      <c r="I1061" s="6" t="str">
        <f>HYPERLINK("https://archive.ph/o/kCXAs/https://web-beta.archive.org/web/20130315140312/http://clopfic.heroku.com/authors/113", "EbonMane")</f>
        <v>EbonMane</v>
      </c>
      <c r="J1061" s="7" t="s">
        <v>39</v>
      </c>
      <c r="N1061" s="7" t="s">
        <v>47</v>
      </c>
      <c r="AG1061" s="9">
        <v>40615.0</v>
      </c>
      <c r="AH1061" s="9">
        <v>40615.0</v>
      </c>
    </row>
    <row r="1062">
      <c r="A1062" s="6" t="str">
        <f>HYPERLINK("https://archive.ph/o/kCXAs/https://web-beta.archive.org/web/20130315140312/http://clopfic.heroku.com/fics/406", "Nightmare Comes, A")</f>
        <v>Nightmare Comes, A</v>
      </c>
      <c r="H1062" s="8" t="s">
        <v>1087</v>
      </c>
      <c r="I1062" s="6" t="str">
        <f t="shared" ref="I1062:I1063" si="54">HYPERLINK("https://archive.ph/o/kCXAs/https://web-beta.archive.org/web/20130315140312/http://clopfic.heroku.com/authors/1", "RagingSemi")</f>
        <v>RagingSemi</v>
      </c>
      <c r="Q1062" s="7" t="s">
        <v>65</v>
      </c>
      <c r="AG1062" s="9">
        <v>40614.0</v>
      </c>
      <c r="AH1062" s="9">
        <v>40614.0</v>
      </c>
    </row>
    <row r="1063">
      <c r="A1063" s="6" t="str">
        <f>HYPERLINK("https://archive.ph/o/kCXAs/https://web-beta.archive.org/web/20130315140312/http://clopfic.heroku.com/fics/407", "Big Jack")</f>
        <v>Big Jack</v>
      </c>
      <c r="H1063" s="8" t="s">
        <v>1088</v>
      </c>
      <c r="I1063" s="6" t="str">
        <f t="shared" si="54"/>
        <v>RagingSemi</v>
      </c>
      <c r="L1063" s="7" t="s">
        <v>62</v>
      </c>
      <c r="V1063" s="7" t="s">
        <v>71</v>
      </c>
      <c r="AG1063" s="9">
        <v>40613.0</v>
      </c>
      <c r="AH1063" s="9">
        <v>40613.0</v>
      </c>
    </row>
    <row r="1064">
      <c r="A1064" s="6" t="str">
        <f>HYPERLINK("https://archive.ph/o/kCXAs/https://web-beta.archive.org/web/20130315140312/http://clopfic.heroku.com/fics/409", "Bath")</f>
        <v>Bath</v>
      </c>
      <c r="H1064" s="8" t="s">
        <v>1089</v>
      </c>
      <c r="I1064" s="6" t="str">
        <f t="shared" ref="I1064:I1065" si="55">HYPERLINK("https://archive.ph/o/kCXAs/https://web-beta.archive.org/web/20130315140312/http://clopfic.heroku.com/authors/93", "zz anonymous")</f>
        <v>zz anonymous</v>
      </c>
      <c r="M1064" s="7" t="s">
        <v>56</v>
      </c>
      <c r="W1064" s="7" t="s">
        <v>69</v>
      </c>
      <c r="AG1064" s="9">
        <v>40613.0</v>
      </c>
      <c r="AH1064" s="9">
        <v>40613.0</v>
      </c>
    </row>
    <row r="1065">
      <c r="A1065" s="6" t="str">
        <f>HYPERLINK("https://archive.ph/o/kCXAs/https://web-beta.archive.org/web/20130315140312/http://clopfic.heroku.com/fics/408", "Punishment")</f>
        <v>Punishment</v>
      </c>
      <c r="B1065" s="7" t="s">
        <v>36</v>
      </c>
      <c r="H1065" s="8" t="s">
        <v>1090</v>
      </c>
      <c r="I1065" s="6" t="str">
        <f t="shared" si="55"/>
        <v>zz anonymous</v>
      </c>
      <c r="J1065" s="7" t="s">
        <v>39</v>
      </c>
      <c r="K1065" s="7" t="s">
        <v>49</v>
      </c>
      <c r="L1065" s="7" t="s">
        <v>62</v>
      </c>
      <c r="M1065" s="7" t="s">
        <v>56</v>
      </c>
      <c r="N1065" s="7" t="s">
        <v>47</v>
      </c>
      <c r="O1065" s="7" t="s">
        <v>51</v>
      </c>
      <c r="V1065" s="7" t="s">
        <v>71</v>
      </c>
      <c r="W1065" s="7" t="s">
        <v>69</v>
      </c>
      <c r="AG1065" s="9">
        <v>40613.0</v>
      </c>
      <c r="AH1065" s="9">
        <v>40613.0</v>
      </c>
    </row>
    <row r="1066">
      <c r="A1066" s="6" t="str">
        <f>HYPERLINK("https://archive.ph/o/kCXAs/https://web-beta.archive.org/web/20130315140312/http://clopfic.heroku.com/fics/411", "Date Night")</f>
        <v>Date Night</v>
      </c>
      <c r="H1066" s="3"/>
      <c r="I1066" s="6" t="str">
        <f t="shared" ref="I1066:I1067" si="56">HYPERLINK("https://archive.ph/o/kCXAs/https://web-beta.archive.org/web/20130315140312/http://clopfic.heroku.com/authors/1", "RagingSemi")</f>
        <v>RagingSemi</v>
      </c>
      <c r="J1066" s="7" t="s">
        <v>39</v>
      </c>
      <c r="N1066" s="7" t="s">
        <v>47</v>
      </c>
      <c r="AG1066" s="9">
        <v>40612.0</v>
      </c>
      <c r="AH1066" s="9">
        <v>40612.0</v>
      </c>
    </row>
    <row r="1067">
      <c r="A1067" s="6" t="str">
        <f>HYPERLINK("https://archive.ph/o/kCXAs/https://web-beta.archive.org/web/20130315140312/http://clopfic.heroku.com/fics/410", "Waiting for Gilda")</f>
        <v>Waiting for Gilda</v>
      </c>
      <c r="H1067" s="3"/>
      <c r="I1067" s="6" t="str">
        <f t="shared" si="56"/>
        <v>RagingSemi</v>
      </c>
      <c r="M1067" s="7" t="s">
        <v>56</v>
      </c>
      <c r="Y1067" s="7" t="s">
        <v>184</v>
      </c>
      <c r="AG1067" s="9">
        <v>40612.0</v>
      </c>
      <c r="AH1067" s="9">
        <v>40612.0</v>
      </c>
    </row>
    <row r="1068">
      <c r="A1068" s="6" t="str">
        <f>HYPERLINK("https://archive.ph/o/kCXAs/https://web-beta.archive.org/web/20130315140312/http://clopfic.heroku.com/fics/412", "My Absolute Mostest Horriblest Day EVER!")</f>
        <v>My Absolute Mostest Horriblest Day EVER!</v>
      </c>
      <c r="B1068" s="7" t="s">
        <v>36</v>
      </c>
      <c r="H1068" s="8" t="s">
        <v>1091</v>
      </c>
      <c r="I1068" s="6" t="str">
        <f>HYPERLINK("https://archive.ph/o/kCXAs/https://web-beta.archive.org/web/20130315140312/http://clopfic.heroku.com/authors/96", "Fairy Slayer")</f>
        <v>Fairy Slayer</v>
      </c>
      <c r="J1068" s="7" t="s">
        <v>39</v>
      </c>
      <c r="K1068" s="7" t="s">
        <v>49</v>
      </c>
      <c r="Q1068" s="7" t="s">
        <v>65</v>
      </c>
      <c r="R1068" s="7" t="s">
        <v>66</v>
      </c>
      <c r="AG1068" s="9">
        <v>40611.0</v>
      </c>
      <c r="AH1068" s="9">
        <v>40611.0</v>
      </c>
    </row>
    <row r="1069">
      <c r="A1069" s="6" t="str">
        <f>HYPERLINK("https://archive.ph/o/kCXAs/https://web-beta.archive.org/web/20130315140312/http://clopfic.heroku.com/fics/414", "zz untitled clopfic TS/PC")</f>
        <v>zz untitled clopfic TS/PC</v>
      </c>
      <c r="H1069" s="3"/>
      <c r="I1069" s="6" t="str">
        <f>HYPERLINK("https://archive.ph/o/kCXAs/https://web-beta.archive.org/web/20130315140312/http://clopfic.heroku.com/authors/93", "zz anonymous")</f>
        <v>zz anonymous</v>
      </c>
      <c r="J1069" s="7" t="s">
        <v>39</v>
      </c>
      <c r="P1069" s="7" t="s">
        <v>64</v>
      </c>
      <c r="AG1069" s="9">
        <v>40610.0</v>
      </c>
      <c r="AH1069" s="9">
        <v>40610.0</v>
      </c>
    </row>
    <row r="1070">
      <c r="A1070" s="6" t="str">
        <f>HYPERLINK("https://archive.ph/o/kCXAs/https://web-beta.archive.org/web/20130315140312/http://clopfic.heroku.com/fics/413", "Yay")</f>
        <v>Yay</v>
      </c>
      <c r="H1070" s="3"/>
      <c r="I1070" s="6" t="str">
        <f t="shared" ref="I1070:I1071" si="57">HYPERLINK("https://archive.ph/o/kCXAs/https://web-beta.archive.org/web/20130315140312/http://clopfic.heroku.com/authors/1", "RagingSemi")</f>
        <v>RagingSemi</v>
      </c>
      <c r="M1070" s="7" t="s">
        <v>56</v>
      </c>
      <c r="O1070" s="7" t="s">
        <v>51</v>
      </c>
      <c r="AG1070" s="9">
        <v>40610.0</v>
      </c>
      <c r="AH1070" s="9">
        <v>40610.0</v>
      </c>
    </row>
    <row r="1071">
      <c r="A1071" s="6" t="str">
        <f>HYPERLINK("https://archive.ph/o/kCXAs/https://web-beta.archive.org/web/20130315140312/http://clopfic.heroku.com/fics/415", "Wrapping Up")</f>
        <v>Wrapping Up</v>
      </c>
      <c r="H1071" s="8" t="s">
        <v>1092</v>
      </c>
      <c r="I1071" s="6" t="str">
        <f t="shared" si="57"/>
        <v>RagingSemi</v>
      </c>
      <c r="J1071" s="7" t="s">
        <v>39</v>
      </c>
      <c r="Z1071" s="7" t="s">
        <v>40</v>
      </c>
      <c r="AE1071" s="7" t="s">
        <v>43</v>
      </c>
      <c r="AG1071" s="9">
        <v>40610.0</v>
      </c>
      <c r="AH1071" s="9">
        <v>40610.0</v>
      </c>
    </row>
    <row r="1072">
      <c r="A1072" s="6" t="str">
        <f>HYPERLINK("https://archive.ph/o/kCXAs/https://web-beta.archive.org/web/20130315140312/http://clopfic.heroku.com/fics/416", "Twilight and Rarity's Magic Book")</f>
        <v>Twilight and Rarity's Magic Book</v>
      </c>
      <c r="G1072" s="7" t="s">
        <v>75</v>
      </c>
      <c r="H1072" s="8" t="s">
        <v>985</v>
      </c>
      <c r="I1072" s="6" t="str">
        <f t="shared" ref="I1072:I1073" si="58">HYPERLINK("https://archive.ph/o/kCXAs/https://web-beta.archive.org/web/20130315140312/http://clopfic.heroku.com/authors/73", "Buttersc0tchSundae")</f>
        <v>Buttersc0tchSundae</v>
      </c>
      <c r="J1072" s="7" t="s">
        <v>39</v>
      </c>
      <c r="N1072" s="7" t="s">
        <v>47</v>
      </c>
      <c r="AG1072" s="9">
        <v>40601.0</v>
      </c>
      <c r="AH1072" s="9">
        <v>40601.0</v>
      </c>
    </row>
    <row r="1073">
      <c r="A1073" s="6" t="str">
        <f>HYPERLINK("https://archive.ph/o/kCXAs/https://web-beta.archive.org/web/20130315140312/http://clopfic.heroku.com/fics/418", "Night Fluttershy Exploded, The")</f>
        <v>Night Fluttershy Exploded, The</v>
      </c>
      <c r="E1073" s="7" t="s">
        <v>44</v>
      </c>
      <c r="G1073" s="7" t="s">
        <v>75</v>
      </c>
      <c r="H1073" s="8" t="s">
        <v>1093</v>
      </c>
      <c r="I1073" s="6" t="str">
        <f t="shared" si="58"/>
        <v>Buttersc0tchSundae</v>
      </c>
      <c r="O1073" s="7" t="s">
        <v>51</v>
      </c>
      <c r="Q1073" s="7" t="s">
        <v>65</v>
      </c>
      <c r="AG1073" s="9">
        <v>40596.0</v>
      </c>
      <c r="AH1073" s="9">
        <v>40596.0</v>
      </c>
    </row>
    <row r="1074">
      <c r="A1074" s="6" t="str">
        <f>HYPERLINK("https://archive.ph/o/kCXAs/https://web-beta.archive.org/web/20130315140312/http://clopfic.heroku.com/fics/417", "Class in Stress Relief, A")</f>
        <v>Class in Stress Relief, A</v>
      </c>
      <c r="C1074" s="7" t="s">
        <v>54</v>
      </c>
      <c r="H1074" s="8" t="s">
        <v>1094</v>
      </c>
      <c r="I1074" s="6" t="str">
        <f>HYPERLINK("https://archive.ph/o/kCXAs/https://web-beta.archive.org/web/20130315140312/http://clopfic.heroku.com/authors/1596", "The Pastmaster")</f>
        <v>The Pastmaster</v>
      </c>
      <c r="J1074" s="7" t="s">
        <v>39</v>
      </c>
      <c r="M1074" s="7" t="s">
        <v>56</v>
      </c>
      <c r="AG1074" s="9">
        <v>40596.0</v>
      </c>
      <c r="AH1074" s="9">
        <v>40596.0</v>
      </c>
    </row>
    <row r="1075">
      <c r="A1075" s="6" t="str">
        <f>HYPERLINK("https://archive.ph/o/kCXAs/https://web-beta.archive.org/web/20130315140312/http://clopfic.heroku.com/fics/420", "Big Daddy Mac Doesn't Dash")</f>
        <v>Big Daddy Mac Doesn't Dash</v>
      </c>
      <c r="G1075" s="7" t="s">
        <v>75</v>
      </c>
      <c r="H1075" s="8" t="s">
        <v>1095</v>
      </c>
      <c r="I1075" s="6" t="str">
        <f t="shared" ref="I1075:I1076" si="59">HYPERLINK("https://archive.ph/o/kCXAs/https://web-beta.archive.org/web/20130315140312/http://clopfic.heroku.com/authors/115", "Midnight Shadow")</f>
        <v>Midnight Shadow</v>
      </c>
      <c r="M1075" s="7" t="s">
        <v>56</v>
      </c>
      <c r="V1075" s="7" t="s">
        <v>71</v>
      </c>
      <c r="AG1075" s="9">
        <v>40595.0</v>
      </c>
      <c r="AH1075" s="9">
        <v>40595.0</v>
      </c>
    </row>
    <row r="1076">
      <c r="A1076" s="6" t="str">
        <f>HYPERLINK("https://archive.ph/o/kCXAs/https://web-beta.archive.org/web/20130315140312/http://clopfic.heroku.com/fics/419", "Big Daddy Mac")</f>
        <v>Big Daddy Mac</v>
      </c>
      <c r="G1076" s="7" t="s">
        <v>75</v>
      </c>
      <c r="H1076" s="8" t="s">
        <v>1096</v>
      </c>
      <c r="I1076" s="6" t="str">
        <f t="shared" si="59"/>
        <v>Midnight Shadow</v>
      </c>
      <c r="O1076" s="7" t="s">
        <v>51</v>
      </c>
      <c r="V1076" s="7" t="s">
        <v>71</v>
      </c>
      <c r="AG1076" s="9">
        <v>40595.0</v>
      </c>
      <c r="AH1076" s="9">
        <v>40595.0</v>
      </c>
    </row>
    <row r="1077">
      <c r="A1077" s="6" t="str">
        <f>HYPERLINK("https://archive.ph/o/kCXAs/https://web-beta.archive.org/web/20130315140312/http://clopfic.heroku.com/fics/421", "Under a Moonlit Sky")</f>
        <v>Under a Moonlit Sky</v>
      </c>
      <c r="G1077" s="7" t="s">
        <v>75</v>
      </c>
      <c r="H1077" s="8" t="s">
        <v>1097</v>
      </c>
      <c r="I1077" s="6" t="str">
        <f>HYPERLINK("https://archive.ph/o/kCXAs/https://web-beta.archive.org/web/20130315140312/http://clopfic.heroku.com/authors/126", "Nukeman")</f>
        <v>Nukeman</v>
      </c>
      <c r="M1077" s="7" t="s">
        <v>56</v>
      </c>
      <c r="Q1077" s="7" t="s">
        <v>65</v>
      </c>
      <c r="AG1077" s="9">
        <v>40595.0</v>
      </c>
      <c r="AH1077" s="9">
        <v>40595.0</v>
      </c>
    </row>
    <row r="1078">
      <c r="A1078" s="6" t="str">
        <f>HYPERLINK("https://archive.ph/o/kCXAs/https://web-beta.archive.org/web/20130315140312/http://clopfic.heroku.com/fics/422", "zz untitled Zecora/Twilight")</f>
        <v>zz untitled Zecora/Twilight</v>
      </c>
      <c r="H1078" s="8" t="s">
        <v>1098</v>
      </c>
      <c r="I1078" s="6" t="str">
        <f t="shared" ref="I1078:I1079" si="60">HYPERLINK("https://archive.ph/o/kCXAs/https://web-beta.archive.org/web/20130315140312/http://clopfic.heroku.com/fics", "/fics")</f>
        <v>/fics</v>
      </c>
      <c r="J1078" s="7" t="s">
        <v>39</v>
      </c>
      <c r="X1078" s="7" t="s">
        <v>107</v>
      </c>
      <c r="AG1078" s="9">
        <v>40587.0</v>
      </c>
      <c r="AH1078" s="9">
        <v>40587.0</v>
      </c>
    </row>
    <row r="1079">
      <c r="A1079" s="6" t="str">
        <f>HYPERLINK("https://archive.ph/o/kCXAs/https://web-beta.archive.org/web/20130315140312/http://clopfic.heroku.com/fics/423", "Twilight's Special Spell")</f>
        <v>Twilight's Special Spell</v>
      </c>
      <c r="G1079" s="7" t="s">
        <v>75</v>
      </c>
      <c r="H1079" s="8" t="s">
        <v>1099</v>
      </c>
      <c r="I1079" s="6" t="str">
        <f t="shared" si="60"/>
        <v>/fics</v>
      </c>
      <c r="J1079" s="7" t="s">
        <v>39</v>
      </c>
      <c r="Z1079" s="7" t="s">
        <v>40</v>
      </c>
      <c r="AF1079" s="7" t="s">
        <v>41</v>
      </c>
      <c r="AG1079" s="9">
        <v>40586.0</v>
      </c>
      <c r="AH1079" s="9">
        <v>40586.0</v>
      </c>
    </row>
    <row r="1080">
      <c r="A1080" s="6" t="str">
        <f>HYPERLINK("https://archive.ph/o/kCXAs/https://web-beta.archive.org/web/20130315140312/http://clopfic.heroku.com/fics/424", "Pinkie Pie Oversized")</f>
        <v>Pinkie Pie Oversized</v>
      </c>
      <c r="C1080" s="7" t="s">
        <v>54</v>
      </c>
      <c r="G1080" s="7" t="s">
        <v>75</v>
      </c>
      <c r="H1080" s="8" t="s">
        <v>1100</v>
      </c>
      <c r="I1080" s="6" t="str">
        <f t="shared" ref="I1080:I1082" si="61">HYPERLINK("https://archive.ph/o/kCXAs/https://web-beta.archive.org/web/20130315140312/http://clopfic.heroku.com/authors/73", "Buttersc0tchSundae")</f>
        <v>Buttersc0tchSundae</v>
      </c>
      <c r="K1080" s="7" t="s">
        <v>49</v>
      </c>
      <c r="N1080" s="7" t="s">
        <v>47</v>
      </c>
      <c r="AG1080" s="9">
        <v>40586.0</v>
      </c>
      <c r="AH1080" s="9">
        <v>40586.0</v>
      </c>
    </row>
    <row r="1081">
      <c r="A1081" s="6" t="str">
        <f>HYPERLINK("https://archive.ph/o/kCXAs/https://web-beta.archive.org/web/20130315140312/http://clopfic.heroku.com/fics/425", "Scrumpy Apple Slumber Party")</f>
        <v>Scrumpy Apple Slumber Party</v>
      </c>
      <c r="H1081" s="8" t="s">
        <v>1101</v>
      </c>
      <c r="I1081" s="6" t="str">
        <f t="shared" si="61"/>
        <v>Buttersc0tchSundae</v>
      </c>
      <c r="J1081" s="7" t="s">
        <v>39</v>
      </c>
      <c r="K1081" s="7" t="s">
        <v>49</v>
      </c>
      <c r="AG1081" s="9">
        <v>40579.0</v>
      </c>
      <c r="AH1081" s="9">
        <v>40579.0</v>
      </c>
    </row>
    <row r="1082">
      <c r="A1082" s="6" t="str">
        <f>HYPERLINK("https://archive.ph/o/kCXAs/https://web-beta.archive.org/web/20130315140312/http://clopfic.heroku.com/fics/426", "Swayback Mountain")</f>
        <v>Swayback Mountain</v>
      </c>
      <c r="G1082" s="7" t="s">
        <v>75</v>
      </c>
      <c r="H1082" s="8" t="s">
        <v>1102</v>
      </c>
      <c r="I1082" s="6" t="str">
        <f t="shared" si="61"/>
        <v>Buttersc0tchSundae</v>
      </c>
      <c r="L1082" s="7" t="s">
        <v>62</v>
      </c>
      <c r="N1082" s="7" t="s">
        <v>47</v>
      </c>
      <c r="AG1082" s="9">
        <v>40574.0</v>
      </c>
      <c r="AH1082" s="9">
        <v>40574.0</v>
      </c>
    </row>
    <row r="1083">
      <c r="A1083" s="3"/>
      <c r="H1083" s="3"/>
      <c r="I1083" s="3"/>
    </row>
    <row r="1084">
      <c r="A1084" s="3"/>
      <c r="H1084" s="3"/>
      <c r="I1084" s="3"/>
    </row>
  </sheetData>
  <mergeCells count="2">
    <mergeCell ref="B1:G1"/>
    <mergeCell ref="J1:AF1"/>
  </mergeCells>
  <drawing r:id="rId1"/>
</worksheet>
</file>